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coloradoedu.sharepoint.com/sites/finaid/Shared Documents/Student Employment/Forms/24-25/"/>
    </mc:Choice>
  </mc:AlternateContent>
  <xr:revisionPtr revIDLastSave="56" documentId="13_ncr:1_{871FFDA9-6EF2-4C21-A9FF-5FB5BC8AF342}" xr6:coauthVersionLast="47" xr6:coauthVersionMax="47" xr10:uidLastSave="{311F2DDE-FBC2-4923-AE95-EF9EBB121704}"/>
  <bookViews>
    <workbookView xWindow="1530" yWindow="1215" windowWidth="26610" windowHeight="12705" xr2:uid="{00000000-000D-0000-FFFF-FFFF00000000}"/>
  </bookViews>
  <sheets>
    <sheet name="Blank" sheetId="1" r:id="rId1"/>
    <sheet name="Sample Complet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B13" i="1"/>
  <c r="B6" i="1" l="1"/>
  <c r="B12" i="1"/>
  <c r="B11" i="1"/>
  <c r="B10" i="1"/>
  <c r="B9" i="1"/>
  <c r="B8" i="1"/>
  <c r="B7" i="1"/>
  <c r="B23" i="1"/>
  <c r="B22" i="1"/>
  <c r="B21" i="1"/>
  <c r="B20" i="1"/>
  <c r="B19" i="1"/>
  <c r="B18" i="1"/>
  <c r="B17" i="1"/>
  <c r="B16" i="1"/>
  <c r="B15" i="1"/>
  <c r="B14" i="1"/>
  <c r="F13" i="1" l="1"/>
  <c r="I23" i="1" l="1"/>
  <c r="H23" i="1"/>
  <c r="G23" i="1"/>
  <c r="F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J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  <c r="I6" i="1"/>
  <c r="H6" i="1"/>
  <c r="G6" i="1"/>
  <c r="F6" i="1"/>
  <c r="E6" i="1"/>
  <c r="D6" i="1"/>
  <c r="I5" i="1"/>
  <c r="H5" i="1"/>
  <c r="G5" i="1"/>
  <c r="F5" i="1"/>
  <c r="E5" i="1"/>
  <c r="D5" i="1"/>
  <c r="I47" i="2" l="1"/>
  <c r="H47" i="2"/>
  <c r="G47" i="2"/>
  <c r="F47" i="2"/>
  <c r="E47" i="2"/>
  <c r="D47" i="2"/>
  <c r="K41" i="2"/>
  <c r="K33" i="2"/>
  <c r="B32" i="2"/>
  <c r="B33" i="2" s="1"/>
  <c r="D31" i="2"/>
  <c r="B30" i="2"/>
  <c r="D30" i="2" s="1"/>
  <c r="D29" i="2"/>
  <c r="E29" i="2" s="1"/>
  <c r="F29" i="2" s="1"/>
  <c r="I26" i="2"/>
  <c r="I23" i="2"/>
  <c r="H23" i="2"/>
  <c r="G23" i="2"/>
  <c r="F23" i="2"/>
  <c r="E23" i="2"/>
  <c r="D23" i="2"/>
  <c r="K17" i="2"/>
  <c r="K9" i="2"/>
  <c r="B6" i="2"/>
  <c r="D6" i="2" s="1"/>
  <c r="D5" i="2"/>
  <c r="E5" i="2" s="1"/>
  <c r="F2" i="2"/>
  <c r="D2" i="2"/>
  <c r="I2" i="1"/>
  <c r="B7" i="2" l="1"/>
  <c r="D7" i="2" s="1"/>
  <c r="G29" i="2"/>
  <c r="H29" i="2"/>
  <c r="I29" i="2" s="1"/>
  <c r="F5" i="2"/>
  <c r="E6" i="2"/>
  <c r="F6" i="2" s="1"/>
  <c r="E30" i="2"/>
  <c r="E31" i="2" s="1"/>
  <c r="I2" i="2"/>
  <c r="B34" i="2"/>
  <c r="D33" i="2"/>
  <c r="D32" i="2"/>
  <c r="E7" i="2" l="1"/>
  <c r="F7" i="2" s="1"/>
  <c r="B8" i="2"/>
  <c r="D8" i="2" s="1"/>
  <c r="F30" i="2"/>
  <c r="G30" i="2" s="1"/>
  <c r="H5" i="2"/>
  <c r="I5" i="2" s="1"/>
  <c r="G5" i="2"/>
  <c r="F31" i="2"/>
  <c r="E32" i="2"/>
  <c r="B35" i="2"/>
  <c r="D34" i="2"/>
  <c r="G6" i="2"/>
  <c r="H6" i="2"/>
  <c r="I6" i="2" s="1"/>
  <c r="H30" i="2" l="1"/>
  <c r="I30" i="2" s="1"/>
  <c r="B9" i="2"/>
  <c r="B10" i="2" s="1"/>
  <c r="E8" i="2"/>
  <c r="F8" i="2" s="1"/>
  <c r="H7" i="2"/>
  <c r="I7" i="2" s="1"/>
  <c r="G7" i="2"/>
  <c r="D35" i="2"/>
  <c r="B36" i="2"/>
  <c r="E33" i="2"/>
  <c r="F32" i="2"/>
  <c r="H31" i="2"/>
  <c r="I31" i="2" s="1"/>
  <c r="G31" i="2"/>
  <c r="D9" i="2" l="1"/>
  <c r="E9" i="2" s="1"/>
  <c r="F9" i="2" s="1"/>
  <c r="B11" i="2"/>
  <c r="D10" i="2"/>
  <c r="E34" i="2"/>
  <c r="F33" i="2"/>
  <c r="G8" i="2"/>
  <c r="H8" i="2"/>
  <c r="I8" i="2" s="1"/>
  <c r="G32" i="2"/>
  <c r="H32" i="2"/>
  <c r="I32" i="2" s="1"/>
  <c r="B37" i="2"/>
  <c r="D36" i="2"/>
  <c r="E10" i="2" l="1"/>
  <c r="F10" i="2" s="1"/>
  <c r="D11" i="2"/>
  <c r="B12" i="2"/>
  <c r="B38" i="2"/>
  <c r="D37" i="2"/>
  <c r="G9" i="2"/>
  <c r="H9" i="2"/>
  <c r="I9" i="2" s="1"/>
  <c r="H33" i="2"/>
  <c r="I33" i="2" s="1"/>
  <c r="G33" i="2"/>
  <c r="E35" i="2"/>
  <c r="F34" i="2"/>
  <c r="E11" i="2" l="1"/>
  <c r="F11" i="2" s="1"/>
  <c r="B13" i="2"/>
  <c r="D12" i="2"/>
  <c r="B39" i="2"/>
  <c r="D38" i="2"/>
  <c r="E38" i="2" s="1"/>
  <c r="H34" i="2"/>
  <c r="I34" i="2" s="1"/>
  <c r="G34" i="2"/>
  <c r="H10" i="2"/>
  <c r="I10" i="2" s="1"/>
  <c r="G10" i="2"/>
  <c r="F35" i="2"/>
  <c r="E36" i="2"/>
  <c r="E12" i="2" l="1"/>
  <c r="F12" i="2" s="1"/>
  <c r="B14" i="2"/>
  <c r="D13" i="2"/>
  <c r="D39" i="2"/>
  <c r="E39" i="2" s="1"/>
  <c r="B40" i="2"/>
  <c r="H11" i="2"/>
  <c r="I11" i="2" s="1"/>
  <c r="G11" i="2"/>
  <c r="E37" i="2"/>
  <c r="F37" i="2" s="1"/>
  <c r="F36" i="2"/>
  <c r="H35" i="2"/>
  <c r="I35" i="2" s="1"/>
  <c r="G35" i="2"/>
  <c r="J38" i="2"/>
  <c r="E13" i="2" l="1"/>
  <c r="F13" i="2" s="1"/>
  <c r="G13" i="2" s="1"/>
  <c r="D14" i="2"/>
  <c r="E14" i="2" s="1"/>
  <c r="J14" i="2" s="1"/>
  <c r="B15" i="2"/>
  <c r="G12" i="2"/>
  <c r="H12" i="2"/>
  <c r="I12" i="2" s="1"/>
  <c r="G36" i="2"/>
  <c r="H36" i="2"/>
  <c r="I36" i="2" s="1"/>
  <c r="B41" i="2"/>
  <c r="D40" i="2"/>
  <c r="E40" i="2" s="1"/>
  <c r="F38" i="2"/>
  <c r="H37" i="2"/>
  <c r="I37" i="2" s="1"/>
  <c r="G37" i="2"/>
  <c r="H13" i="2" l="1"/>
  <c r="I13" i="2" s="1"/>
  <c r="F14" i="2"/>
  <c r="H14" i="2" s="1"/>
  <c r="I14" i="2" s="1"/>
  <c r="D15" i="2"/>
  <c r="E15" i="2" s="1"/>
  <c r="B16" i="2"/>
  <c r="F39" i="2"/>
  <c r="G38" i="2"/>
  <c r="H38" i="2"/>
  <c r="I38" i="2" s="1"/>
  <c r="B42" i="2"/>
  <c r="D41" i="2"/>
  <c r="E41" i="2" s="1"/>
  <c r="G14" i="2" l="1"/>
  <c r="F15" i="2"/>
  <c r="H15" i="2" s="1"/>
  <c r="I15" i="2" s="1"/>
  <c r="B17" i="2"/>
  <c r="D16" i="2"/>
  <c r="E16" i="2" s="1"/>
  <c r="H39" i="2"/>
  <c r="I39" i="2" s="1"/>
  <c r="F40" i="2"/>
  <c r="G39" i="2"/>
  <c r="D42" i="2"/>
  <c r="E42" i="2" s="1"/>
  <c r="B43" i="2"/>
  <c r="G15" i="2" l="1"/>
  <c r="F16" i="2"/>
  <c r="H16" i="2" s="1"/>
  <c r="I16" i="2" s="1"/>
  <c r="D17" i="2"/>
  <c r="E17" i="2" s="1"/>
  <c r="B18" i="2"/>
  <c r="H40" i="2"/>
  <c r="I40" i="2" s="1"/>
  <c r="G40" i="2"/>
  <c r="F41" i="2"/>
  <c r="B44" i="2"/>
  <c r="D43" i="2"/>
  <c r="E43" i="2" s="1"/>
  <c r="G16" i="2" l="1"/>
  <c r="F17" i="2"/>
  <c r="H17" i="2" s="1"/>
  <c r="I17" i="2" s="1"/>
  <c r="D18" i="2"/>
  <c r="E18" i="2" s="1"/>
  <c r="B19" i="2"/>
  <c r="D44" i="2"/>
  <c r="E44" i="2" s="1"/>
  <c r="B45" i="2"/>
  <c r="F42" i="2"/>
  <c r="G41" i="2"/>
  <c r="H41" i="2"/>
  <c r="I41" i="2" s="1"/>
  <c r="G17" i="2" l="1"/>
  <c r="F18" i="2"/>
  <c r="H18" i="2" s="1"/>
  <c r="I18" i="2" s="1"/>
  <c r="D19" i="2"/>
  <c r="E19" i="2" s="1"/>
  <c r="B20" i="2"/>
  <c r="G42" i="2"/>
  <c r="F43" i="2"/>
  <c r="H42" i="2"/>
  <c r="I42" i="2" s="1"/>
  <c r="D45" i="2"/>
  <c r="E45" i="2" s="1"/>
  <c r="B46" i="2"/>
  <c r="G18" i="2" l="1"/>
  <c r="F19" i="2"/>
  <c r="H19" i="2" s="1"/>
  <c r="I19" i="2" s="1"/>
  <c r="D20" i="2"/>
  <c r="E20" i="2" s="1"/>
  <c r="B21" i="2"/>
  <c r="B47" i="2"/>
  <c r="D46" i="2"/>
  <c r="E46" i="2" s="1"/>
  <c r="H43" i="2"/>
  <c r="I43" i="2" s="1"/>
  <c r="F44" i="2"/>
  <c r="G43" i="2"/>
  <c r="F20" i="2" l="1"/>
  <c r="G20" i="2" s="1"/>
  <c r="G19" i="2"/>
  <c r="D21" i="2"/>
  <c r="E21" i="2" s="1"/>
  <c r="B22" i="2"/>
  <c r="H44" i="2"/>
  <c r="I44" i="2" s="1"/>
  <c r="F45" i="2"/>
  <c r="G44" i="2"/>
  <c r="H20" i="2" l="1"/>
  <c r="I20" i="2" s="1"/>
  <c r="F21" i="2"/>
  <c r="G21" i="2" s="1"/>
  <c r="B23" i="2"/>
  <c r="D22" i="2"/>
  <c r="E22" i="2" s="1"/>
  <c r="H45" i="2"/>
  <c r="I45" i="2" s="1"/>
  <c r="G45" i="2"/>
  <c r="F46" i="2"/>
  <c r="H21" i="2" l="1"/>
  <c r="I21" i="2" s="1"/>
  <c r="F22" i="2"/>
  <c r="H22" i="2" s="1"/>
  <c r="I22" i="2" s="1"/>
  <c r="G46" i="2"/>
  <c r="H46" i="2"/>
  <c r="I46" i="2" s="1"/>
  <c r="G22" i="2" l="1"/>
</calcChain>
</file>

<file path=xl/sharedStrings.xml><?xml version="1.0" encoding="utf-8"?>
<sst xmlns="http://schemas.openxmlformats.org/spreadsheetml/2006/main" count="104" uniqueCount="47">
  <si>
    <t>Fall Award</t>
  </si>
  <si>
    <t>Spring Award</t>
  </si>
  <si>
    <t>Remaining</t>
  </si>
  <si>
    <t>Hours</t>
  </si>
  <si>
    <t>Pay Period</t>
  </si>
  <si>
    <t>Pay</t>
  </si>
  <si>
    <t>Gross</t>
  </si>
  <si>
    <t>Semester</t>
  </si>
  <si>
    <t>Per</t>
  </si>
  <si>
    <t>Ending Date</t>
  </si>
  <si>
    <t>Rate</t>
  </si>
  <si>
    <t>Worked</t>
  </si>
  <si>
    <t>Earnings</t>
  </si>
  <si>
    <t>Award</t>
  </si>
  <si>
    <t>Total</t>
  </si>
  <si>
    <t>Week</t>
  </si>
  <si>
    <t>Total FALL Remaining</t>
  </si>
  <si>
    <t>Total Award</t>
  </si>
  <si>
    <t>HR Emplid</t>
  </si>
  <si>
    <t>Under Remaining Hours Section</t>
  </si>
  <si>
    <t>Mouse, Mickey</t>
  </si>
  <si>
    <t>Emplid</t>
  </si>
  <si>
    <t>XXXXXXXXX</t>
  </si>
  <si>
    <t>XXXXXX</t>
  </si>
  <si>
    <t>SA 2, step 1</t>
  </si>
  <si>
    <t>Approved for hourly for fall</t>
  </si>
  <si>
    <t>Remaining hourly for fall</t>
  </si>
  <si>
    <t>Approved for hourly for spg</t>
  </si>
  <si>
    <t>Remaining hourly for spg</t>
  </si>
  <si>
    <t>Mouse, Minnie</t>
  </si>
  <si>
    <r>
      <t>XXXXXX</t>
    </r>
    <r>
      <rPr>
        <sz val="10"/>
        <color indexed="10"/>
        <rFont val="Arial"/>
        <family val="2"/>
      </rPr>
      <t>-2 employers</t>
    </r>
  </si>
  <si>
    <t>SA 2, step 4</t>
  </si>
  <si>
    <t>SA 4, step 1</t>
  </si>
  <si>
    <t xml:space="preserve">Press F2 or select cell and it will take you into that cell and you can see how the other employers earnings were added </t>
  </si>
  <si>
    <t>Any usused spring work-study is cancelled and DOES NOT carry over to summer.</t>
  </si>
  <si>
    <r>
      <rPr>
        <sz val="10"/>
        <color indexed="10"/>
        <rFont val="Arial"/>
        <family val="2"/>
      </rPr>
      <t>Total</t>
    </r>
    <r>
      <rPr>
        <sz val="10"/>
        <color indexed="12"/>
        <rFont val="Arial"/>
        <family val="2"/>
      </rPr>
      <t>: How much in dollars the student has left to earn until the end of fall or spring term</t>
    </r>
  </si>
  <si>
    <r>
      <rPr>
        <sz val="10"/>
        <color indexed="10"/>
        <rFont val="Arial"/>
        <family val="2"/>
      </rPr>
      <t>Per Week</t>
    </r>
    <r>
      <rPr>
        <sz val="10"/>
        <color indexed="12"/>
        <rFont val="Arial"/>
        <family val="2"/>
      </rPr>
      <t>: How many hours a student should work in a week to not go over their award and go until the end of fall or spring term</t>
    </r>
  </si>
  <si>
    <r>
      <rPr>
        <sz val="10"/>
        <color indexed="10"/>
        <rFont val="Arial"/>
        <family val="2"/>
      </rPr>
      <t>Per Pay Period</t>
    </r>
    <r>
      <rPr>
        <sz val="10"/>
        <color indexed="12"/>
        <rFont val="Arial"/>
        <family val="2"/>
      </rPr>
      <t>: How many hours a student should work in a bi-weekly pay period to not go over their award and go until the end of fall or spring term</t>
    </r>
  </si>
  <si>
    <t>Name:</t>
  </si>
  <si>
    <t>Student ID:</t>
  </si>
  <si>
    <r>
      <t xml:space="preserve">STUDENTS WHO GRADUATE IN THE </t>
    </r>
    <r>
      <rPr>
        <b/>
        <sz val="10"/>
        <color rgb="FFFF0000"/>
        <rFont val="Arial Black"/>
        <family val="2"/>
      </rPr>
      <t>FALL</t>
    </r>
    <r>
      <rPr>
        <sz val="10"/>
        <color rgb="FFFF0000"/>
        <rFont val="Arial Black"/>
        <family val="2"/>
      </rPr>
      <t xml:space="preserve"> TERM MUST STOP WORKING ON </t>
    </r>
    <r>
      <rPr>
        <b/>
        <sz val="10"/>
        <color rgb="FFFF0000"/>
        <rFont val="Arial Black"/>
        <family val="2"/>
      </rPr>
      <t>12/21/24</t>
    </r>
  </si>
  <si>
    <t>Students not graduating in the fall can continue to work. Fall term ends on 12/21/24. Must be enrolled by 12/22/2024 to begin using their work-study for the spring term.</t>
  </si>
  <si>
    <r>
      <t xml:space="preserve">STUDENTS WHO GRADUATE IN THE </t>
    </r>
    <r>
      <rPr>
        <b/>
        <sz val="10"/>
        <color rgb="FFFF0000"/>
        <rFont val="Arial Black"/>
        <family val="2"/>
      </rPr>
      <t>SPRING</t>
    </r>
    <r>
      <rPr>
        <sz val="10"/>
        <color rgb="FFFF0000"/>
        <rFont val="Arial Black"/>
        <family val="2"/>
      </rPr>
      <t xml:space="preserve"> TERM MUST STOP WORKING ON </t>
    </r>
    <r>
      <rPr>
        <b/>
        <sz val="10"/>
        <color rgb="FFFF0000"/>
        <rFont val="Arial Black"/>
        <family val="2"/>
      </rPr>
      <t>5/8/25</t>
    </r>
  </si>
  <si>
    <t>See sample on other tab</t>
  </si>
  <si>
    <t>Or Change the award amounts once awards have been adjusted in CUSIS</t>
  </si>
  <si>
    <t>Any unused fall work-study will carry over to spring. You may need to adjust the 12/21/24 pay period by adding the amount in column J back into formula.</t>
  </si>
  <si>
    <t>If the student is working for 2 employers or more using their work-study award you can enter the gross pay column and enter their dollar amount earned there.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</si>
</sst>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</numFmts>
  <fonts count="19" x14ac:knownFonts="1">
    <font>
      <sz val="10"/>
      <name val="Arial"/>
    </font>
    <font>
      <sz val="10"/>
      <name val="Arial"/>
      <family val="2"/>
    </font>
    <font>
      <sz val="10"/>
      <color indexed="12"/>
      <name val="Helv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0"/>
      <color indexed="10"/>
      <name val="Arial"/>
      <family val="2"/>
    </font>
    <font>
      <b/>
      <sz val="10"/>
      <color indexed="12"/>
      <name val="Helv"/>
    </font>
    <font>
      <sz val="10"/>
      <color indexed="12"/>
      <name val="Arial"/>
      <family val="2"/>
    </font>
    <font>
      <sz val="9.5"/>
      <name val="Arial"/>
      <family val="2"/>
    </font>
    <font>
      <sz val="6.5"/>
      <name val="Arial"/>
      <family val="2"/>
    </font>
    <font>
      <sz val="9.5"/>
      <color indexed="14"/>
      <name val="Arial"/>
      <family val="2"/>
    </font>
    <font>
      <sz val="10"/>
      <color rgb="FF006100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 Black"/>
      <family val="2"/>
    </font>
    <font>
      <b/>
      <sz val="10"/>
      <color rgb="FFFF0000"/>
      <name val="Arial Black"/>
      <family val="2"/>
    </font>
    <font>
      <b/>
      <sz val="10"/>
      <name val="Arial"/>
      <family val="2"/>
    </font>
    <font>
      <sz val="1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17F15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94">
    <xf numFmtId="0" fontId="0" fillId="0" borderId="0" xfId="0"/>
    <xf numFmtId="0" fontId="2" fillId="0" borderId="0" xfId="0" applyFont="1"/>
    <xf numFmtId="8" fontId="2" fillId="0" borderId="0" xfId="0" applyNumberFormat="1" applyFont="1"/>
    <xf numFmtId="14" fontId="5" fillId="0" borderId="1" xfId="0" applyNumberFormat="1" applyFont="1" applyBorder="1" applyAlignment="1">
      <alignment horizontal="center"/>
    </xf>
    <xf numFmtId="7" fontId="5" fillId="2" borderId="0" xfId="0" applyNumberFormat="1" applyFont="1" applyFill="1" applyAlignment="1">
      <alignment horizontal="center"/>
    </xf>
    <xf numFmtId="2" fontId="5" fillId="0" borderId="2" xfId="0" applyNumberFormat="1" applyFont="1" applyBorder="1" applyAlignment="1">
      <alignment horizontal="center"/>
    </xf>
    <xf numFmtId="8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8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8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8" fontId="5" fillId="0" borderId="1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8" fontId="4" fillId="0" borderId="3" xfId="0" applyNumberFormat="1" applyFont="1" applyBorder="1" applyAlignment="1">
      <alignment horizontal="center"/>
    </xf>
    <xf numFmtId="8" fontId="4" fillId="0" borderId="16" xfId="0" applyNumberFormat="1" applyFont="1" applyBorder="1" applyAlignment="1">
      <alignment horizontal="center"/>
    </xf>
    <xf numFmtId="8" fontId="4" fillId="0" borderId="17" xfId="0" applyNumberFormat="1" applyFont="1" applyBorder="1" applyAlignment="1">
      <alignment horizontal="center"/>
    </xf>
    <xf numFmtId="8" fontId="4" fillId="0" borderId="18" xfId="0" applyNumberFormat="1" applyFont="1" applyBorder="1" applyAlignment="1">
      <alignment horizontal="center"/>
    </xf>
    <xf numFmtId="8" fontId="4" fillId="0" borderId="14" xfId="0" applyNumberFormat="1" applyFont="1" applyBorder="1" applyAlignment="1">
      <alignment horizontal="center"/>
    </xf>
    <xf numFmtId="8" fontId="4" fillId="0" borderId="19" xfId="0" applyNumberFormat="1" applyFont="1" applyBorder="1" applyAlignment="1">
      <alignment horizontal="center"/>
    </xf>
    <xf numFmtId="8" fontId="4" fillId="0" borderId="20" xfId="0" applyNumberFormat="1" applyFont="1" applyBorder="1" applyAlignment="1">
      <alignment horizontal="center"/>
    </xf>
    <xf numFmtId="8" fontId="4" fillId="0" borderId="21" xfId="0" applyNumberFormat="1" applyFont="1" applyBorder="1" applyAlignment="1">
      <alignment horizontal="center"/>
    </xf>
    <xf numFmtId="8" fontId="4" fillId="0" borderId="22" xfId="0" applyNumberFormat="1" applyFont="1" applyBorder="1" applyAlignment="1">
      <alignment horizontal="center"/>
    </xf>
    <xf numFmtId="7" fontId="12" fillId="3" borderId="23" xfId="2" applyNumberFormat="1" applyBorder="1" applyAlignment="1" applyProtection="1">
      <alignment horizontal="left"/>
    </xf>
    <xf numFmtId="0" fontId="12" fillId="3" borderId="24" xfId="2" applyNumberFormat="1" applyBorder="1" applyAlignment="1" applyProtection="1">
      <alignment horizontal="left"/>
    </xf>
    <xf numFmtId="0" fontId="12" fillId="4" borderId="25" xfId="2" applyNumberFormat="1" applyFill="1" applyBorder="1" applyAlignment="1" applyProtection="1">
      <alignment horizontal="center"/>
    </xf>
    <xf numFmtId="8" fontId="12" fillId="4" borderId="2" xfId="2" applyNumberFormat="1" applyFill="1" applyBorder="1" applyAlignment="1" applyProtection="1">
      <alignment horizontal="center"/>
    </xf>
    <xf numFmtId="0" fontId="12" fillId="4" borderId="2" xfId="2" applyNumberFormat="1" applyFill="1" applyBorder="1" applyAlignment="1" applyProtection="1">
      <alignment horizontal="center"/>
    </xf>
    <xf numFmtId="8" fontId="12" fillId="4" borderId="26" xfId="2" applyNumberFormat="1" applyFill="1" applyBorder="1" applyAlignment="1" applyProtection="1">
      <alignment horizontal="center"/>
    </xf>
    <xf numFmtId="7" fontId="12" fillId="4" borderId="3" xfId="2" applyNumberFormat="1" applyFill="1" applyBorder="1" applyAlignment="1" applyProtection="1">
      <alignment horizontal="center"/>
    </xf>
    <xf numFmtId="7" fontId="12" fillId="4" borderId="27" xfId="2" applyNumberFormat="1" applyFill="1" applyBorder="1" applyAlignment="1" applyProtection="1">
      <alignment horizontal="center"/>
    </xf>
    <xf numFmtId="4" fontId="12" fillId="4" borderId="28" xfId="2" applyNumberFormat="1" applyFill="1" applyBorder="1" applyAlignment="1" applyProtection="1">
      <alignment horizontal="center"/>
    </xf>
    <xf numFmtId="0" fontId="12" fillId="4" borderId="24" xfId="2" applyNumberFormat="1" applyFill="1" applyBorder="1" applyAlignment="1" applyProtection="1">
      <alignment horizontal="center"/>
    </xf>
    <xf numFmtId="8" fontId="12" fillId="4" borderId="29" xfId="2" applyNumberFormat="1" applyFill="1" applyBorder="1" applyAlignment="1" applyProtection="1">
      <alignment horizontal="center"/>
    </xf>
    <xf numFmtId="0" fontId="12" fillId="4" borderId="29" xfId="2" applyNumberFormat="1" applyFill="1" applyBorder="1" applyAlignment="1" applyProtection="1">
      <alignment horizontal="center"/>
    </xf>
    <xf numFmtId="8" fontId="12" fillId="4" borderId="30" xfId="2" applyNumberFormat="1" applyFill="1" applyBorder="1" applyAlignment="1" applyProtection="1">
      <alignment horizontal="center"/>
    </xf>
    <xf numFmtId="7" fontId="12" fillId="4" borderId="31" xfId="2" applyNumberFormat="1" applyFill="1" applyBorder="1" applyAlignment="1" applyProtection="1">
      <alignment horizontal="center"/>
    </xf>
    <xf numFmtId="7" fontId="12" fillId="4" borderId="29" xfId="2" applyNumberFormat="1" applyFill="1" applyBorder="1" applyAlignment="1" applyProtection="1">
      <alignment horizontal="center"/>
    </xf>
    <xf numFmtId="4" fontId="12" fillId="4" borderId="32" xfId="2" applyNumberFormat="1" applyFill="1" applyBorder="1" applyAlignment="1" applyProtection="1">
      <alignment horizontal="center"/>
    </xf>
    <xf numFmtId="0" fontId="12" fillId="4" borderId="33" xfId="2" applyNumberFormat="1" applyFill="1" applyBorder="1" applyAlignment="1" applyProtection="1">
      <alignment horizontal="center"/>
    </xf>
    <xf numFmtId="8" fontId="12" fillId="4" borderId="33" xfId="2" applyNumberFormat="1" applyFill="1" applyBorder="1" applyAlignment="1" applyProtection="1">
      <alignment horizontal="left"/>
    </xf>
    <xf numFmtId="8" fontId="12" fillId="4" borderId="33" xfId="2" applyNumberFormat="1" applyFill="1" applyBorder="1" applyAlignment="1" applyProtection="1">
      <alignment horizontal="center"/>
    </xf>
    <xf numFmtId="8" fontId="12" fillId="4" borderId="34" xfId="2" applyNumberFormat="1" applyFill="1" applyBorder="1" applyAlignment="1" applyProtection="1">
      <alignment horizontal="center"/>
    </xf>
    <xf numFmtId="7" fontId="12" fillId="4" borderId="33" xfId="2" applyNumberFormat="1" applyFill="1" applyBorder="1" applyAlignment="1" applyProtection="1"/>
    <xf numFmtId="7" fontId="12" fillId="4" borderId="33" xfId="2" applyNumberFormat="1" applyFill="1" applyBorder="1" applyAlignment="1" applyProtection="1">
      <alignment horizontal="center"/>
    </xf>
    <xf numFmtId="7" fontId="12" fillId="4" borderId="35" xfId="2" applyNumberFormat="1" applyFill="1" applyBorder="1" applyAlignment="1" applyProtection="1">
      <alignment horizontal="right"/>
    </xf>
    <xf numFmtId="0" fontId="12" fillId="4" borderId="36" xfId="2" applyNumberFormat="1" applyFill="1" applyBorder="1" applyAlignment="1" applyProtection="1">
      <alignment horizontal="center"/>
    </xf>
    <xf numFmtId="8" fontId="12" fillId="4" borderId="36" xfId="2" applyNumberFormat="1" applyFill="1" applyBorder="1" applyAlignment="1" applyProtection="1">
      <alignment horizontal="center"/>
    </xf>
    <xf numFmtId="49" fontId="12" fillId="4" borderId="36" xfId="2" applyNumberFormat="1" applyFill="1" applyBorder="1" applyAlignment="1" applyProtection="1">
      <alignment horizontal="center"/>
    </xf>
    <xf numFmtId="8" fontId="12" fillId="4" borderId="37" xfId="2" applyNumberFormat="1" applyFill="1" applyBorder="1" applyAlignment="1" applyProtection="1">
      <alignment horizontal="center"/>
    </xf>
    <xf numFmtId="7" fontId="12" fillId="4" borderId="36" xfId="2" applyNumberFormat="1" applyFill="1" applyBorder="1" applyAlignment="1" applyProtection="1"/>
    <xf numFmtId="7" fontId="12" fillId="4" borderId="36" xfId="2" applyNumberFormat="1" applyFill="1" applyBorder="1" applyAlignment="1" applyProtection="1">
      <alignment horizontal="center"/>
    </xf>
    <xf numFmtId="7" fontId="12" fillId="4" borderId="32" xfId="2" applyNumberFormat="1" applyFill="1" applyBorder="1" applyAlignment="1" applyProtection="1">
      <alignment horizontal="right"/>
    </xf>
    <xf numFmtId="2" fontId="5" fillId="0" borderId="17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7" fontId="12" fillId="3" borderId="23" xfId="2" applyNumberFormat="1" applyBorder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12" fillId="3" borderId="24" xfId="2" applyNumberFormat="1" applyBorder="1" applyAlignment="1">
      <alignment horizontal="left"/>
    </xf>
    <xf numFmtId="2" fontId="9" fillId="0" borderId="0" xfId="0" applyNumberFormat="1" applyFont="1"/>
    <xf numFmtId="44" fontId="10" fillId="5" borderId="0" xfId="1" applyFont="1" applyFill="1"/>
    <xf numFmtId="2" fontId="11" fillId="0" borderId="0" xfId="0" applyNumberFormat="1" applyFont="1"/>
    <xf numFmtId="0" fontId="10" fillId="6" borderId="0" xfId="0" applyFont="1" applyFill="1"/>
    <xf numFmtId="0" fontId="13" fillId="0" borderId="0" xfId="0" applyFont="1"/>
    <xf numFmtId="8" fontId="8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7" fillId="0" borderId="0" xfId="0" applyFont="1"/>
    <xf numFmtId="7" fontId="4" fillId="7" borderId="0" xfId="0" applyNumberFormat="1" applyFont="1" applyFill="1" applyAlignment="1">
      <alignment horizontal="center"/>
    </xf>
    <xf numFmtId="2" fontId="4" fillId="0" borderId="2" xfId="0" applyNumberFormat="1" applyFont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8" fontId="4" fillId="0" borderId="38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8" fontId="4" fillId="0" borderId="39" xfId="0" applyNumberFormat="1" applyFont="1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8" fontId="4" fillId="0" borderId="41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8" fontId="4" fillId="0" borderId="27" xfId="0" applyNumberFormat="1" applyFont="1" applyBorder="1" applyAlignment="1">
      <alignment horizontal="center"/>
    </xf>
    <xf numFmtId="8" fontId="4" fillId="0" borderId="42" xfId="0" applyNumberFormat="1" applyFont="1" applyBorder="1" applyAlignment="1">
      <alignment horizontal="center"/>
    </xf>
    <xf numFmtId="8" fontId="4" fillId="0" borderId="43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28</xdr:row>
      <xdr:rowOff>133349</xdr:rowOff>
    </xdr:from>
    <xdr:to>
      <xdr:col>4</xdr:col>
      <xdr:colOff>19050</xdr:colOff>
      <xdr:row>30</xdr:row>
      <xdr:rowOff>28574</xdr:rowOff>
    </xdr:to>
    <xdr:sp macro="" textlink="">
      <xdr:nvSpPr>
        <xdr:cNvPr id="2" name="Oval 1" descr="Press F2 or select cell and it will take you into that cell and you can see how the other employers earnings were added" title="Example calculati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19300" y="4667249"/>
          <a:ext cx="790575" cy="219075"/>
        </a:xfrm>
        <a:prstGeom prst="ellipse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476250</xdr:colOff>
      <xdr:row>26</xdr:row>
      <xdr:rowOff>142874</xdr:rowOff>
    </xdr:from>
    <xdr:to>
      <xdr:col>22</xdr:col>
      <xdr:colOff>123825</xdr:colOff>
      <xdr:row>29</xdr:row>
      <xdr:rowOff>161924</xdr:rowOff>
    </xdr:to>
    <xdr:sp macro="" textlink="">
      <xdr:nvSpPr>
        <xdr:cNvPr id="3" name="Oval 2" descr="Press F2 or select cell and it will take you into that cell and you can see how the other employers earnings were added " title="How to see cacluatio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53275" y="4352924"/>
          <a:ext cx="6962775" cy="504825"/>
        </a:xfrm>
        <a:prstGeom prst="ellipse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Normal="100" zoomScaleSheetLayoutView="50" workbookViewId="0">
      <selection activeCell="B39" sqref="B39"/>
    </sheetView>
  </sheetViews>
  <sheetFormatPr defaultRowHeight="12.75" x14ac:dyDescent="0.2"/>
  <cols>
    <col min="1" max="1" width="19.28515625" bestFit="1" customWidth="1"/>
    <col min="2" max="2" width="10.7109375" bestFit="1" customWidth="1"/>
    <col min="3" max="3" width="9" bestFit="1" customWidth="1"/>
    <col min="4" max="4" width="10.7109375" bestFit="1" customWidth="1"/>
    <col min="5" max="5" width="14" bestFit="1" customWidth="1"/>
    <col min="6" max="6" width="12.28515625" bestFit="1" customWidth="1"/>
    <col min="7" max="8" width="9" bestFit="1" customWidth="1"/>
    <col min="9" max="9" width="10" bestFit="1" customWidth="1"/>
  </cols>
  <sheetData>
    <row r="1" spans="1:15" s="1" customFormat="1" ht="13.15" customHeight="1" thickTop="1" x14ac:dyDescent="0.2">
      <c r="A1" s="31" t="s">
        <v>38</v>
      </c>
      <c r="B1" s="31" t="s">
        <v>18</v>
      </c>
      <c r="C1" s="47"/>
      <c r="D1" s="48" t="s">
        <v>0</v>
      </c>
      <c r="E1" s="49"/>
      <c r="F1" s="50" t="s">
        <v>1</v>
      </c>
      <c r="G1" s="51"/>
      <c r="H1" s="52" t="s">
        <v>2</v>
      </c>
      <c r="I1" s="53" t="s">
        <v>17</v>
      </c>
    </row>
    <row r="2" spans="1:15" s="1" customFormat="1" ht="13.15" customHeight="1" thickBot="1" x14ac:dyDescent="0.25">
      <c r="A2" s="32" t="s">
        <v>39</v>
      </c>
      <c r="B2" s="32"/>
      <c r="C2" s="54"/>
      <c r="D2" s="55"/>
      <c r="E2" s="56"/>
      <c r="F2" s="57"/>
      <c r="G2" s="58"/>
      <c r="H2" s="59" t="s">
        <v>3</v>
      </c>
      <c r="I2" s="60">
        <f>+D2+F2</f>
        <v>0</v>
      </c>
      <c r="N2" s="75"/>
      <c r="O2" s="75"/>
    </row>
    <row r="3" spans="1:15" s="1" customFormat="1" ht="13.15" customHeight="1" x14ac:dyDescent="0.2">
      <c r="A3" s="33" t="s">
        <v>4</v>
      </c>
      <c r="B3" s="34" t="s">
        <v>5</v>
      </c>
      <c r="C3" s="35" t="s">
        <v>3</v>
      </c>
      <c r="D3" s="34" t="s">
        <v>6</v>
      </c>
      <c r="E3" s="34" t="s">
        <v>7</v>
      </c>
      <c r="F3" s="36" t="s">
        <v>2</v>
      </c>
      <c r="G3" s="37"/>
      <c r="H3" s="38" t="s">
        <v>8</v>
      </c>
      <c r="I3" s="39" t="s">
        <v>8</v>
      </c>
    </row>
    <row r="4" spans="1:15" s="1" customFormat="1" ht="13.15" customHeight="1" thickBot="1" x14ac:dyDescent="0.25">
      <c r="A4" s="40" t="s">
        <v>9</v>
      </c>
      <c r="B4" s="41" t="s">
        <v>10</v>
      </c>
      <c r="C4" s="42" t="s">
        <v>11</v>
      </c>
      <c r="D4" s="41" t="s">
        <v>5</v>
      </c>
      <c r="E4" s="41" t="s">
        <v>12</v>
      </c>
      <c r="F4" s="43" t="s">
        <v>13</v>
      </c>
      <c r="G4" s="44" t="s">
        <v>14</v>
      </c>
      <c r="H4" s="45" t="s">
        <v>15</v>
      </c>
      <c r="I4" s="46" t="s">
        <v>4</v>
      </c>
    </row>
    <row r="5" spans="1:15" s="1" customFormat="1" ht="13.15" customHeight="1" x14ac:dyDescent="0.2">
      <c r="A5" s="3">
        <v>45535</v>
      </c>
      <c r="B5" s="76"/>
      <c r="C5" s="77"/>
      <c r="D5" s="21" t="str">
        <f t="shared" ref="D5:D23" si="0">IF(C5="","",B5*C5)</f>
        <v/>
      </c>
      <c r="E5" s="22" t="str">
        <f>IF(C5="","",D5)</f>
        <v/>
      </c>
      <c r="F5" s="23" t="str">
        <f>IF(C5="","",D2-E5)</f>
        <v/>
      </c>
      <c r="G5" s="7" t="str">
        <f t="shared" ref="G5:G23" si="1">IF(C5="","",F5/B5)</f>
        <v/>
      </c>
      <c r="H5" s="7" t="str">
        <f>IF(C5="","",F5/(B5*18))</f>
        <v/>
      </c>
      <c r="I5" s="8" t="str">
        <f t="shared" ref="I5:I23" si="2">IF(C5="","",H5*2)</f>
        <v/>
      </c>
    </row>
    <row r="6" spans="1:15" s="1" customFormat="1" ht="13.15" customHeight="1" x14ac:dyDescent="0.2">
      <c r="A6" s="9">
        <v>45549</v>
      </c>
      <c r="B6" s="78" t="str">
        <f ca="1">IF(TODAY()&gt;DATEVALUE("9/07/2024"),B5,"")</f>
        <v/>
      </c>
      <c r="C6" s="77"/>
      <c r="D6" s="21" t="str">
        <f t="shared" si="0"/>
        <v/>
      </c>
      <c r="E6" s="24" t="str">
        <f t="shared" ref="E6:E9" si="3">IF(C6="","",E5+D6)</f>
        <v/>
      </c>
      <c r="F6" s="25" t="str">
        <f>IF(C6="","",D2-E6)</f>
        <v/>
      </c>
      <c r="G6" s="11" t="str">
        <f t="shared" si="1"/>
        <v/>
      </c>
      <c r="H6" s="61" t="str">
        <f>IF(C6="","",F6/(B6*16))</f>
        <v/>
      </c>
      <c r="I6" s="12" t="str">
        <f t="shared" si="2"/>
        <v/>
      </c>
    </row>
    <row r="7" spans="1:15" s="1" customFormat="1" ht="13.15" customHeight="1" x14ac:dyDescent="0.2">
      <c r="A7" s="9">
        <v>45563</v>
      </c>
      <c r="B7" s="78" t="str">
        <f ca="1">IF(TODAY()&gt;DATEVALUE("9/21/2024"),B6,"")</f>
        <v/>
      </c>
      <c r="C7" s="77"/>
      <c r="D7" s="21" t="str">
        <f t="shared" si="0"/>
        <v/>
      </c>
      <c r="E7" s="24" t="str">
        <f>IF(C7="","",E6+D7)</f>
        <v/>
      </c>
      <c r="F7" s="25" t="str">
        <f>IF(C7="","",D2-E7)</f>
        <v/>
      </c>
      <c r="G7" s="11" t="str">
        <f t="shared" si="1"/>
        <v/>
      </c>
      <c r="H7" s="61" t="str">
        <f>IF(C7="","",F7/(B7*14))</f>
        <v/>
      </c>
      <c r="I7" s="12" t="str">
        <f t="shared" si="2"/>
        <v/>
      </c>
    </row>
    <row r="8" spans="1:15" s="1" customFormat="1" ht="13.15" customHeight="1" x14ac:dyDescent="0.2">
      <c r="A8" s="9">
        <v>45547</v>
      </c>
      <c r="B8" s="78" t="str">
        <f ca="1">IF(TODAY()&gt;DATEVALUE("10/05/2024"),B7,"")</f>
        <v/>
      </c>
      <c r="C8" s="77"/>
      <c r="D8" s="21" t="str">
        <f t="shared" si="0"/>
        <v/>
      </c>
      <c r="E8" s="24" t="str">
        <f t="shared" si="3"/>
        <v/>
      </c>
      <c r="F8" s="25" t="str">
        <f>IF(C8="","",D2-E8)</f>
        <v/>
      </c>
      <c r="G8" s="11" t="str">
        <f t="shared" si="1"/>
        <v/>
      </c>
      <c r="H8" s="61" t="str">
        <f>IF(C8="","",F8/(B8*12))</f>
        <v/>
      </c>
      <c r="I8" s="12" t="str">
        <f t="shared" si="2"/>
        <v/>
      </c>
    </row>
    <row r="9" spans="1:15" s="1" customFormat="1" ht="13.15" customHeight="1" x14ac:dyDescent="0.2">
      <c r="A9" s="9">
        <v>45591</v>
      </c>
      <c r="B9" s="78" t="str">
        <f ca="1">IF(TODAY()&gt;DATEVALUE("10/19/2024"),B8,"")</f>
        <v/>
      </c>
      <c r="C9" s="77"/>
      <c r="D9" s="21" t="str">
        <f t="shared" si="0"/>
        <v/>
      </c>
      <c r="E9" s="24" t="str">
        <f t="shared" si="3"/>
        <v/>
      </c>
      <c r="F9" s="25" t="str">
        <f>IF(C9="","",D2-E9)</f>
        <v/>
      </c>
      <c r="G9" s="11" t="str">
        <f t="shared" si="1"/>
        <v/>
      </c>
      <c r="H9" s="61" t="str">
        <f>IF(C9="","",F9/(B9*10))</f>
        <v/>
      </c>
      <c r="I9" s="12" t="str">
        <f t="shared" si="2"/>
        <v/>
      </c>
    </row>
    <row r="10" spans="1:15" s="1" customFormat="1" ht="13.15" customHeight="1" x14ac:dyDescent="0.2">
      <c r="A10" s="9">
        <v>45605</v>
      </c>
      <c r="B10" s="78" t="str">
        <f ca="1">IF(TODAY()&gt;DATEVALUE("11/02/2024"),B9,"")</f>
        <v/>
      </c>
      <c r="C10" s="77"/>
      <c r="D10" s="21" t="str">
        <f t="shared" si="0"/>
        <v/>
      </c>
      <c r="E10" s="24" t="str">
        <f>IF(C10="","",E9+D10)</f>
        <v/>
      </c>
      <c r="F10" s="25" t="str">
        <f>IF(C10="","",D2-E10)</f>
        <v/>
      </c>
      <c r="G10" s="11" t="str">
        <f t="shared" si="1"/>
        <v/>
      </c>
      <c r="H10" s="61" t="str">
        <f>IF(C10="","",F10/(B10*8))</f>
        <v/>
      </c>
      <c r="I10" s="12" t="str">
        <f t="shared" si="2"/>
        <v/>
      </c>
    </row>
    <row r="11" spans="1:15" s="1" customFormat="1" ht="13.15" customHeight="1" x14ac:dyDescent="0.2">
      <c r="A11" s="9">
        <v>45619</v>
      </c>
      <c r="B11" s="78" t="str">
        <f ca="1">IF(TODAY()&gt;DATEVALUE("11/16/2024"),B10,"")</f>
        <v/>
      </c>
      <c r="C11" s="77"/>
      <c r="D11" s="21" t="str">
        <f t="shared" si="0"/>
        <v/>
      </c>
      <c r="E11" s="24" t="str">
        <f>IF(C11="","",E10+D11)</f>
        <v/>
      </c>
      <c r="F11" s="25" t="str">
        <f>IF(C11="","",D2-E11)</f>
        <v/>
      </c>
      <c r="G11" s="11" t="str">
        <f t="shared" si="1"/>
        <v/>
      </c>
      <c r="H11" s="61" t="str">
        <f>IF(C11="","",F11/(B11*6))</f>
        <v/>
      </c>
      <c r="I11" s="12" t="str">
        <f t="shared" si="2"/>
        <v/>
      </c>
    </row>
    <row r="12" spans="1:15" s="1" customFormat="1" ht="13.15" customHeight="1" x14ac:dyDescent="0.2">
      <c r="A12" s="9">
        <v>45633</v>
      </c>
      <c r="B12" s="78" t="str">
        <f ca="1">IF(TODAY()&gt;DATEVALUE("11/30/2024"),B10,"")</f>
        <v/>
      </c>
      <c r="C12" s="77"/>
      <c r="D12" s="21" t="str">
        <f t="shared" si="0"/>
        <v/>
      </c>
      <c r="E12" s="24" t="str">
        <f>IF(C12="","",E11+D12)</f>
        <v/>
      </c>
      <c r="F12" s="25" t="str">
        <f>IF(C12="","",D2-E12)</f>
        <v/>
      </c>
      <c r="G12" s="11" t="str">
        <f t="shared" si="1"/>
        <v/>
      </c>
      <c r="H12" s="61" t="str">
        <f>IF(C12="","",F12/(B12*4))</f>
        <v/>
      </c>
      <c r="I12" s="12" t="str">
        <f t="shared" si="2"/>
        <v/>
      </c>
      <c r="J12" s="2"/>
    </row>
    <row r="13" spans="1:15" s="1" customFormat="1" ht="13.15" customHeight="1" thickBot="1" x14ac:dyDescent="0.25">
      <c r="A13" s="13">
        <v>45647</v>
      </c>
      <c r="B13" s="79" t="str">
        <f ca="1">IF(TODAY()&gt;DATEVALUE("12/28/2024"),B12,"")</f>
        <v/>
      </c>
      <c r="C13" s="80"/>
      <c r="D13" s="26" t="str">
        <f>IF(C13="","",B13*C13)</f>
        <v/>
      </c>
      <c r="E13" s="22" t="str">
        <f>IF(C13="","",E12+D13)</f>
        <v/>
      </c>
      <c r="F13" s="27" t="str">
        <f>IF(C13="","",D2-E13+F2)</f>
        <v/>
      </c>
      <c r="G13" s="14" t="str">
        <f t="shared" si="1"/>
        <v/>
      </c>
      <c r="H13" s="62" t="str">
        <f>IF(C13="","",F13/(B13*0))</f>
        <v/>
      </c>
      <c r="I13" s="15" t="str">
        <f t="shared" si="2"/>
        <v/>
      </c>
      <c r="J13" s="2" t="e">
        <f>D2-E13</f>
        <v>#VALUE!</v>
      </c>
      <c r="K13" s="1" t="s">
        <v>16</v>
      </c>
    </row>
    <row r="14" spans="1:15" s="1" customFormat="1" ht="13.15" customHeight="1" thickTop="1" x14ac:dyDescent="0.2">
      <c r="A14" s="3">
        <v>45661</v>
      </c>
      <c r="B14" s="81" t="str">
        <f ca="1">IF(TODAY()&gt;DATEVALUE("1/11/2025"),B13,"")</f>
        <v/>
      </c>
      <c r="C14" s="82"/>
      <c r="D14" s="22" t="str">
        <f t="shared" si="0"/>
        <v/>
      </c>
      <c r="E14" s="28" t="str">
        <f>IF(C14="","",D14)</f>
        <v/>
      </c>
      <c r="F14" s="29" t="str">
        <f t="shared" ref="F14:F15" si="4">IF(C14="","",F13-D14)</f>
        <v/>
      </c>
      <c r="G14" s="7" t="str">
        <f t="shared" si="1"/>
        <v/>
      </c>
      <c r="H14" s="7" t="str">
        <f>IF(C14="","",F14/(B14*18))</f>
        <v/>
      </c>
      <c r="I14" s="8" t="str">
        <f t="shared" si="2"/>
        <v/>
      </c>
      <c r="L14" s="2"/>
    </row>
    <row r="15" spans="1:15" s="1" customFormat="1" ht="13.15" customHeight="1" x14ac:dyDescent="0.2">
      <c r="A15" s="9">
        <v>45675</v>
      </c>
      <c r="B15" s="83" t="str">
        <f ca="1">IF(TODAY()&gt;DATEVALUE("01/25/2025"),B14,"")</f>
        <v/>
      </c>
      <c r="C15" s="84"/>
      <c r="D15" s="21" t="str">
        <f t="shared" si="0"/>
        <v/>
      </c>
      <c r="E15" s="24" t="str">
        <f t="shared" ref="E15:E18" si="5">IF(C15="","",E14+D15)</f>
        <v/>
      </c>
      <c r="F15" s="25" t="str">
        <f t="shared" si="4"/>
        <v/>
      </c>
      <c r="G15" s="11" t="str">
        <f t="shared" si="1"/>
        <v/>
      </c>
      <c r="H15" s="61" t="str">
        <f>IF(C15="","",F15/(B15*16))</f>
        <v/>
      </c>
      <c r="I15" s="12" t="str">
        <f t="shared" si="2"/>
        <v/>
      </c>
    </row>
    <row r="16" spans="1:15" s="1" customFormat="1" ht="13.15" customHeight="1" x14ac:dyDescent="0.2">
      <c r="A16" s="9">
        <v>45689</v>
      </c>
      <c r="B16" s="83" t="str">
        <f ca="1">IF(TODAY()&gt;DATEVALUE("02/08/2025"),B15,"")</f>
        <v/>
      </c>
      <c r="C16" s="77"/>
      <c r="D16" s="21" t="str">
        <f t="shared" si="0"/>
        <v/>
      </c>
      <c r="E16" s="24" t="str">
        <f>IF(C16="","",E15+D16)</f>
        <v/>
      </c>
      <c r="F16" s="25" t="str">
        <f>IF(C16="","",F15-D16)</f>
        <v/>
      </c>
      <c r="G16" s="11" t="str">
        <f t="shared" si="1"/>
        <v/>
      </c>
      <c r="H16" s="61" t="str">
        <f>IF(C16="","",F16/(B16*14))</f>
        <v/>
      </c>
      <c r="I16" s="12" t="str">
        <f t="shared" si="2"/>
        <v/>
      </c>
    </row>
    <row r="17" spans="1:9" s="1" customFormat="1" ht="13.15" customHeight="1" x14ac:dyDescent="0.2">
      <c r="A17" s="9">
        <v>45703</v>
      </c>
      <c r="B17" s="85" t="str">
        <f ca="1">IF(TODAY()&gt;DATEVALUE("02/22/2025"),B16,"")</f>
        <v/>
      </c>
      <c r="C17" s="77"/>
      <c r="D17" s="21" t="str">
        <f t="shared" si="0"/>
        <v/>
      </c>
      <c r="E17" s="24" t="str">
        <f t="shared" si="5"/>
        <v/>
      </c>
      <c r="F17" s="25" t="str">
        <f>IF(C17="","",F16-D17)</f>
        <v/>
      </c>
      <c r="G17" s="11" t="str">
        <f t="shared" si="1"/>
        <v/>
      </c>
      <c r="H17" s="61" t="str">
        <f>IF(C17="","",F17/(B17*12))</f>
        <v/>
      </c>
      <c r="I17" s="12" t="str">
        <f t="shared" si="2"/>
        <v/>
      </c>
    </row>
    <row r="18" spans="1:9" s="1" customFormat="1" ht="13.15" customHeight="1" x14ac:dyDescent="0.2">
      <c r="A18" s="9">
        <v>45717</v>
      </c>
      <c r="B18" s="83" t="str">
        <f ca="1">IF(TODAY()&gt;DATEVALUE("03/07/2025"),B17,"")</f>
        <v/>
      </c>
      <c r="C18" s="77"/>
      <c r="D18" s="21" t="str">
        <f t="shared" si="0"/>
        <v/>
      </c>
      <c r="E18" s="24" t="str">
        <f t="shared" si="5"/>
        <v/>
      </c>
      <c r="F18" s="25" t="str">
        <f t="shared" ref="F18" si="6">IF(C18="","",F17-D18)</f>
        <v/>
      </c>
      <c r="G18" s="11" t="str">
        <f t="shared" si="1"/>
        <v/>
      </c>
      <c r="H18" s="61" t="str">
        <f>IF(C18="","",F18/(B18*10))</f>
        <v/>
      </c>
      <c r="I18" s="12" t="str">
        <f t="shared" si="2"/>
        <v/>
      </c>
    </row>
    <row r="19" spans="1:9" s="1" customFormat="1" ht="13.15" customHeight="1" x14ac:dyDescent="0.2">
      <c r="A19" s="9">
        <v>45731</v>
      </c>
      <c r="B19" s="83" t="str">
        <f ca="1">IF(TODAY()&gt;DATEVALUE("03/21/2025"),B18,"")</f>
        <v/>
      </c>
      <c r="C19" s="77"/>
      <c r="D19" s="21" t="str">
        <f t="shared" si="0"/>
        <v/>
      </c>
      <c r="E19" s="24" t="str">
        <f>IF(C19="","",E18+D19)</f>
        <v/>
      </c>
      <c r="F19" s="25" t="str">
        <f>IF(C19="","",F18-D19)</f>
        <v/>
      </c>
      <c r="G19" s="11" t="str">
        <f t="shared" si="1"/>
        <v/>
      </c>
      <c r="H19" s="61" t="str">
        <f>IF(C19="","",F19/(B19*8))</f>
        <v/>
      </c>
      <c r="I19" s="12" t="str">
        <f t="shared" si="2"/>
        <v/>
      </c>
    </row>
    <row r="20" spans="1:9" s="1" customFormat="1" ht="13.15" customHeight="1" x14ac:dyDescent="0.2">
      <c r="A20" s="9">
        <v>45745</v>
      </c>
      <c r="B20" s="86" t="str">
        <f ca="1">IF(TODAY()&gt;DATEVALUE("04/04/2025"),B19,"")</f>
        <v/>
      </c>
      <c r="C20" s="77"/>
      <c r="D20" s="21" t="str">
        <f t="shared" si="0"/>
        <v/>
      </c>
      <c r="E20" s="24" t="str">
        <f t="shared" ref="E20:E23" si="7">IF(C20="","",E19+D20)</f>
        <v/>
      </c>
      <c r="F20" s="25" t="str">
        <f t="shared" ref="F20:F23" si="8">IF(C20="","",F19-D20)</f>
        <v/>
      </c>
      <c r="G20" s="11" t="str">
        <f t="shared" si="1"/>
        <v/>
      </c>
      <c r="H20" s="61" t="str">
        <f>IF(C20="","",F20/(B20*6))</f>
        <v/>
      </c>
      <c r="I20" s="12" t="str">
        <f t="shared" si="2"/>
        <v/>
      </c>
    </row>
    <row r="21" spans="1:9" s="1" customFormat="1" ht="13.15" customHeight="1" x14ac:dyDescent="0.2">
      <c r="A21" s="9">
        <v>45759</v>
      </c>
      <c r="B21" s="86" t="str">
        <f ca="1">IF(TODAY()&gt;DATEVALUE("04/18/2025"),B20,"")</f>
        <v/>
      </c>
      <c r="C21" s="77"/>
      <c r="D21" s="21" t="str">
        <f t="shared" si="0"/>
        <v/>
      </c>
      <c r="E21" s="24" t="str">
        <f t="shared" si="7"/>
        <v/>
      </c>
      <c r="F21" s="25" t="str">
        <f>IF(C21="","",F20-D21)</f>
        <v/>
      </c>
      <c r="G21" s="11" t="str">
        <f t="shared" si="1"/>
        <v/>
      </c>
      <c r="H21" s="61" t="str">
        <f>IF(C21="","",F21/(B21*4))</f>
        <v/>
      </c>
      <c r="I21" s="12" t="str">
        <f t="shared" si="2"/>
        <v/>
      </c>
    </row>
    <row r="22" spans="1:9" s="1" customFormat="1" ht="13.15" customHeight="1" x14ac:dyDescent="0.2">
      <c r="A22" s="9">
        <v>45773</v>
      </c>
      <c r="B22" s="85" t="str">
        <f ca="1">IF(TODAY()&gt;DATEVALUE("05/02/2025"),B21,"")</f>
        <v/>
      </c>
      <c r="C22" s="77"/>
      <c r="D22" s="21" t="str">
        <f t="shared" si="0"/>
        <v/>
      </c>
      <c r="E22" s="24" t="str">
        <f t="shared" si="7"/>
        <v/>
      </c>
      <c r="F22" s="25" t="str">
        <f t="shared" si="8"/>
        <v/>
      </c>
      <c r="G22" s="11" t="str">
        <f t="shared" si="1"/>
        <v/>
      </c>
      <c r="H22" s="61" t="str">
        <f>IF(C22="","",F22/(B22*2))</f>
        <v/>
      </c>
      <c r="I22" s="12" t="str">
        <f t="shared" si="2"/>
        <v/>
      </c>
    </row>
    <row r="23" spans="1:9" ht="13.5" thickBot="1" x14ac:dyDescent="0.25">
      <c r="A23" s="13">
        <v>45787</v>
      </c>
      <c r="B23" s="87" t="str">
        <f ca="1">IF(TODAY()&gt;DATEVALUE("05/16/2025"),B22,"")</f>
        <v/>
      </c>
      <c r="C23" s="88"/>
      <c r="D23" s="26" t="str">
        <f t="shared" si="0"/>
        <v/>
      </c>
      <c r="E23" s="30" t="str">
        <f t="shared" si="7"/>
        <v/>
      </c>
      <c r="F23" s="27" t="str">
        <f t="shared" si="8"/>
        <v/>
      </c>
      <c r="G23" s="20" t="str">
        <f t="shared" si="1"/>
        <v/>
      </c>
      <c r="H23" s="20" t="str">
        <f>IF(C23="","",F23/(B23*0))</f>
        <v/>
      </c>
      <c r="I23" s="15" t="str">
        <f t="shared" si="2"/>
        <v/>
      </c>
    </row>
    <row r="24" spans="1:9" ht="13.5" thickTop="1" x14ac:dyDescent="0.2">
      <c r="A24" s="90" t="s">
        <v>19</v>
      </c>
    </row>
    <row r="25" spans="1:9" x14ac:dyDescent="0.2">
      <c r="A25" s="64" t="s">
        <v>35</v>
      </c>
    </row>
    <row r="26" spans="1:9" x14ac:dyDescent="0.2">
      <c r="A26" s="64" t="s">
        <v>36</v>
      </c>
    </row>
    <row r="27" spans="1:9" x14ac:dyDescent="0.2">
      <c r="A27" s="64" t="s">
        <v>37</v>
      </c>
    </row>
    <row r="28" spans="1:9" x14ac:dyDescent="0.2">
      <c r="A28" s="1"/>
    </row>
    <row r="29" spans="1:9" x14ac:dyDescent="0.2">
      <c r="A29" s="64" t="s">
        <v>46</v>
      </c>
    </row>
    <row r="30" spans="1:9" x14ac:dyDescent="0.2">
      <c r="A30" s="64" t="s">
        <v>43</v>
      </c>
    </row>
    <row r="31" spans="1:9" ht="12" customHeight="1" x14ac:dyDescent="0.2">
      <c r="A31" s="92" t="s">
        <v>45</v>
      </c>
    </row>
    <row r="32" spans="1:9" ht="12" customHeight="1" x14ac:dyDescent="0.2">
      <c r="A32" s="92" t="s">
        <v>44</v>
      </c>
    </row>
    <row r="33" spans="1:7" x14ac:dyDescent="0.2">
      <c r="A33" s="92" t="s">
        <v>34</v>
      </c>
    </row>
    <row r="35" spans="1:7" ht="15" x14ac:dyDescent="0.3">
      <c r="A35" s="91" t="s">
        <v>40</v>
      </c>
    </row>
    <row r="36" spans="1:7" x14ac:dyDescent="0.2">
      <c r="A36" s="89" t="s">
        <v>41</v>
      </c>
    </row>
    <row r="37" spans="1:7" ht="15" x14ac:dyDescent="0.3">
      <c r="A37" s="91" t="s">
        <v>42</v>
      </c>
      <c r="B37" s="93"/>
      <c r="C37" s="93"/>
      <c r="D37" s="93"/>
      <c r="E37" s="93"/>
      <c r="F37" s="93"/>
      <c r="G37" s="93"/>
    </row>
  </sheetData>
  <phoneticPr fontId="3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workbookViewId="0">
      <selection activeCell="A13" sqref="A13"/>
    </sheetView>
  </sheetViews>
  <sheetFormatPr defaultRowHeight="12.75" x14ac:dyDescent="0.2"/>
  <cols>
    <col min="1" max="1" width="13.85546875" bestFit="1" customWidth="1"/>
    <col min="4" max="5" width="9.7109375" bestFit="1" customWidth="1"/>
    <col min="6" max="6" width="12" bestFit="1" customWidth="1"/>
  </cols>
  <sheetData>
    <row r="1" spans="1:12" s="64" customFormat="1" ht="13.15" customHeight="1" thickTop="1" x14ac:dyDescent="0.2">
      <c r="A1" s="63" t="s">
        <v>20</v>
      </c>
      <c r="B1" s="31" t="s">
        <v>21</v>
      </c>
      <c r="C1" s="47"/>
      <c r="D1" s="48" t="s">
        <v>0</v>
      </c>
      <c r="E1" s="49"/>
      <c r="F1" s="50" t="s">
        <v>1</v>
      </c>
      <c r="G1" s="51"/>
      <c r="H1" s="52" t="s">
        <v>2</v>
      </c>
      <c r="I1" s="53" t="s">
        <v>17</v>
      </c>
      <c r="L1" s="65"/>
    </row>
    <row r="2" spans="1:12" s="64" customFormat="1" ht="13.15" customHeight="1" thickBot="1" x14ac:dyDescent="0.25">
      <c r="A2" s="66" t="s">
        <v>22</v>
      </c>
      <c r="B2" s="32" t="s">
        <v>23</v>
      </c>
      <c r="C2" s="54"/>
      <c r="D2" s="55">
        <f>1250+152+53.8</f>
        <v>1455.8</v>
      </c>
      <c r="E2" s="56"/>
      <c r="F2" s="55">
        <f>1250+152+1500</f>
        <v>2902</v>
      </c>
      <c r="G2" s="58"/>
      <c r="H2" s="59" t="s">
        <v>3</v>
      </c>
      <c r="I2" s="60">
        <f>+D2+F2</f>
        <v>4357.8</v>
      </c>
      <c r="L2" s="65"/>
    </row>
    <row r="3" spans="1:12" s="64" customFormat="1" ht="13.15" customHeight="1" x14ac:dyDescent="0.2">
      <c r="A3" s="34" t="s">
        <v>4</v>
      </c>
      <c r="B3" s="34" t="s">
        <v>5</v>
      </c>
      <c r="C3" s="35" t="s">
        <v>3</v>
      </c>
      <c r="D3" s="34" t="s">
        <v>6</v>
      </c>
      <c r="E3" s="34" t="s">
        <v>7</v>
      </c>
      <c r="F3" s="36" t="s">
        <v>2</v>
      </c>
      <c r="G3" s="37"/>
      <c r="H3" s="38" t="s">
        <v>8</v>
      </c>
      <c r="I3" s="39" t="s">
        <v>8</v>
      </c>
      <c r="L3" s="65"/>
    </row>
    <row r="4" spans="1:12" s="64" customFormat="1" ht="13.15" customHeight="1" thickBot="1" x14ac:dyDescent="0.25">
      <c r="A4" s="41" t="s">
        <v>9</v>
      </c>
      <c r="B4" s="41" t="s">
        <v>10</v>
      </c>
      <c r="C4" s="42" t="s">
        <v>11</v>
      </c>
      <c r="D4" s="41" t="s">
        <v>5</v>
      </c>
      <c r="E4" s="41" t="s">
        <v>12</v>
      </c>
      <c r="F4" s="43" t="s">
        <v>13</v>
      </c>
      <c r="G4" s="44" t="s">
        <v>14</v>
      </c>
      <c r="H4" s="45" t="s">
        <v>15</v>
      </c>
      <c r="I4" s="46" t="s">
        <v>4</v>
      </c>
      <c r="L4" s="65"/>
    </row>
    <row r="5" spans="1:12" s="64" customFormat="1" x14ac:dyDescent="0.2">
      <c r="A5" s="3">
        <v>41517</v>
      </c>
      <c r="B5" s="4">
        <v>10.039999999999999</v>
      </c>
      <c r="C5" s="5">
        <v>2.5</v>
      </c>
      <c r="D5" s="21">
        <f t="shared" ref="D5:D23" si="0">IF(C5="","",B5*C5)</f>
        <v>25.099999999999998</v>
      </c>
      <c r="E5" s="22">
        <f>IF(C5="","",D5)</f>
        <v>25.099999999999998</v>
      </c>
      <c r="F5" s="23">
        <f>IF(C5="","",D2-E5)</f>
        <v>1430.7</v>
      </c>
      <c r="G5" s="7">
        <f t="shared" ref="G5:G23" si="1">IF(C5="","",F5/B5)</f>
        <v>142.50000000000003</v>
      </c>
      <c r="H5" s="7">
        <f>IF(C5="","",F5/(B5*16))</f>
        <v>8.9062500000000018</v>
      </c>
      <c r="I5" s="8">
        <f>IF(C5="","",H5*2)</f>
        <v>17.812500000000004</v>
      </c>
      <c r="J5" s="64" t="s">
        <v>24</v>
      </c>
      <c r="L5" s="65"/>
    </row>
    <row r="6" spans="1:12" s="64" customFormat="1" x14ac:dyDescent="0.2">
      <c r="A6" s="9">
        <v>41531</v>
      </c>
      <c r="B6" s="10">
        <f ca="1">IF(TODAY()&gt;DATEVALUE("9/16/2013"),B5,"")</f>
        <v>10.039999999999999</v>
      </c>
      <c r="C6" s="5">
        <v>12</v>
      </c>
      <c r="D6" s="21">
        <f t="shared" ca="1" si="0"/>
        <v>120.47999999999999</v>
      </c>
      <c r="E6" s="24">
        <f ca="1">IF(C6="","",E5+D6)</f>
        <v>145.57999999999998</v>
      </c>
      <c r="F6" s="25">
        <f ca="1">IF(C6="","",D2-E6)</f>
        <v>1310.22</v>
      </c>
      <c r="G6" s="11">
        <f t="shared" ca="1" si="1"/>
        <v>130.5</v>
      </c>
      <c r="H6" s="61">
        <f ca="1">IF(C6="","",F6/(B6*14))</f>
        <v>9.3214285714285712</v>
      </c>
      <c r="I6" s="12">
        <f t="shared" ref="I6:I23" ca="1" si="2">IF(C6="","",H6*2)</f>
        <v>18.642857142857142</v>
      </c>
      <c r="L6" s="65"/>
    </row>
    <row r="7" spans="1:12" s="64" customFormat="1" x14ac:dyDescent="0.2">
      <c r="A7" s="9">
        <v>41545</v>
      </c>
      <c r="B7" s="10">
        <f ca="1">IF(TODAY()&gt;DATEVALUE("9/29/2013"),B6,"")</f>
        <v>10.039999999999999</v>
      </c>
      <c r="C7" s="5">
        <v>19.25</v>
      </c>
      <c r="D7" s="21">
        <f t="shared" ca="1" si="0"/>
        <v>193.26999999999998</v>
      </c>
      <c r="E7" s="24">
        <f t="shared" ref="E7:E13" ca="1" si="3">IF(C7="","",E6+D7)</f>
        <v>338.84999999999997</v>
      </c>
      <c r="F7" s="25">
        <f ca="1">IF(C7="","",D2-E7)</f>
        <v>1116.95</v>
      </c>
      <c r="G7" s="11">
        <f t="shared" ca="1" si="1"/>
        <v>111.25000000000001</v>
      </c>
      <c r="H7" s="61">
        <f ca="1">IF(C7="","",F7/(B7*12))</f>
        <v>9.2708333333333339</v>
      </c>
      <c r="I7" s="12">
        <f t="shared" ca="1" si="2"/>
        <v>18.541666666666668</v>
      </c>
      <c r="L7" s="65"/>
    </row>
    <row r="8" spans="1:12" s="64" customFormat="1" x14ac:dyDescent="0.2">
      <c r="A8" s="9">
        <v>41559</v>
      </c>
      <c r="B8" s="10">
        <f ca="1">IF(TODAY()&gt;DATEVALUE("10/14/2013"),B7,"")</f>
        <v>10.039999999999999</v>
      </c>
      <c r="C8" s="5">
        <v>20.75</v>
      </c>
      <c r="D8" s="21">
        <f t="shared" ca="1" si="0"/>
        <v>208.32999999999998</v>
      </c>
      <c r="E8" s="24">
        <f ca="1">IF(C8="","",E7+D8)</f>
        <v>547.17999999999995</v>
      </c>
      <c r="F8" s="25">
        <f ca="1">IF(C8="","",D2-E8)</f>
        <v>908.62</v>
      </c>
      <c r="G8" s="11">
        <f t="shared" ca="1" si="1"/>
        <v>90.500000000000014</v>
      </c>
      <c r="H8" s="61">
        <f ca="1">IF(C8="","",F8/(B8*10))</f>
        <v>9.0500000000000007</v>
      </c>
      <c r="I8" s="12">
        <f t="shared" ca="1" si="2"/>
        <v>18.100000000000001</v>
      </c>
      <c r="K8" s="67">
        <v>0</v>
      </c>
      <c r="L8" s="68" t="s">
        <v>25</v>
      </c>
    </row>
    <row r="9" spans="1:12" s="64" customFormat="1" x14ac:dyDescent="0.2">
      <c r="A9" s="9">
        <v>41573</v>
      </c>
      <c r="B9" s="10">
        <f ca="1">IF(TODAY()&gt;DATEVALUE("10/28/2013"),B8,"")</f>
        <v>10.039999999999999</v>
      </c>
      <c r="C9" s="5">
        <v>15.75</v>
      </c>
      <c r="D9" s="21">
        <f ca="1">IF(C9="","",B9*C9)</f>
        <v>158.13</v>
      </c>
      <c r="E9" s="24">
        <f t="shared" ca="1" si="3"/>
        <v>705.31</v>
      </c>
      <c r="F9" s="25">
        <f ca="1">IF(C9="","",D2-E9)</f>
        <v>750.49</v>
      </c>
      <c r="G9" s="11">
        <f ca="1">IF(C9="","",F9/B9)</f>
        <v>74.750000000000014</v>
      </c>
      <c r="H9" s="61">
        <f ca="1">IF(C9="","",F9/(B9*8))</f>
        <v>9.3437500000000018</v>
      </c>
      <c r="I9" s="12">
        <f ca="1">IF(C9="","",H9*2)</f>
        <v>18.687500000000004</v>
      </c>
      <c r="K9" s="69">
        <f>SUM(-K8-F24)</f>
        <v>0</v>
      </c>
      <c r="L9" s="70" t="s">
        <v>26</v>
      </c>
    </row>
    <row r="10" spans="1:12" s="64" customFormat="1" x14ac:dyDescent="0.2">
      <c r="A10" s="9">
        <v>41587</v>
      </c>
      <c r="B10" s="10">
        <f ca="1">IF(TODAY()&gt;DATEVALUE("11/11/2013"),B9,"")</f>
        <v>10.039999999999999</v>
      </c>
      <c r="C10" s="5">
        <v>13</v>
      </c>
      <c r="D10" s="21">
        <f t="shared" ca="1" si="0"/>
        <v>130.51999999999998</v>
      </c>
      <c r="E10" s="24">
        <f t="shared" ca="1" si="3"/>
        <v>835.82999999999993</v>
      </c>
      <c r="F10" s="25">
        <f ca="1">IF(C10="","",D2-E10)</f>
        <v>619.97</v>
      </c>
      <c r="G10" s="11">
        <f t="shared" ca="1" si="1"/>
        <v>61.750000000000007</v>
      </c>
      <c r="H10" s="61">
        <f ca="1">IF(C10="","",F10/(B10*6))</f>
        <v>10.291666666666668</v>
      </c>
      <c r="I10" s="12">
        <f t="shared" ca="1" si="2"/>
        <v>20.583333333333336</v>
      </c>
      <c r="L10" s="65"/>
    </row>
    <row r="11" spans="1:12" s="64" customFormat="1" x14ac:dyDescent="0.2">
      <c r="A11" s="9">
        <v>41601</v>
      </c>
      <c r="B11" s="10">
        <f ca="1">IF(TODAY()&gt;DATEVALUE("11/25/2013"),B10,"")</f>
        <v>10.039999999999999</v>
      </c>
      <c r="C11" s="5">
        <v>19.25</v>
      </c>
      <c r="D11" s="21">
        <f t="shared" ca="1" si="0"/>
        <v>193.26999999999998</v>
      </c>
      <c r="E11" s="24">
        <f ca="1">IF(C11="","",E10+D11)</f>
        <v>1029.0999999999999</v>
      </c>
      <c r="F11" s="25">
        <f ca="1">IF(C11="","",D2-E11)</f>
        <v>426.70000000000005</v>
      </c>
      <c r="G11" s="11">
        <f t="shared" ca="1" si="1"/>
        <v>42.500000000000007</v>
      </c>
      <c r="H11" s="61">
        <f ca="1">IF(C11="","",F11/(B11*4))</f>
        <v>10.625000000000002</v>
      </c>
      <c r="I11" s="12">
        <f t="shared" ca="1" si="2"/>
        <v>21.250000000000004</v>
      </c>
      <c r="L11" s="65"/>
    </row>
    <row r="12" spans="1:12" s="64" customFormat="1" x14ac:dyDescent="0.2">
      <c r="A12" s="9">
        <v>41615</v>
      </c>
      <c r="B12" s="10">
        <f ca="1">IF(TODAY()&gt;DATEVALUE("11/25/2013"),B11,"")</f>
        <v>10.039999999999999</v>
      </c>
      <c r="C12" s="5">
        <v>24.5</v>
      </c>
      <c r="D12" s="21">
        <f t="shared" ca="1" si="0"/>
        <v>245.98</v>
      </c>
      <c r="E12" s="24">
        <f t="shared" ca="1" si="3"/>
        <v>1275.08</v>
      </c>
      <c r="F12" s="25">
        <f ca="1">IF(C12="","",D2-E12)</f>
        <v>180.72000000000003</v>
      </c>
      <c r="G12" s="11">
        <f ca="1">IF(C12="","",F12/B12)</f>
        <v>18.000000000000004</v>
      </c>
      <c r="H12" s="61">
        <f ca="1">IF(C12="","",F12/(B12*2))</f>
        <v>9.0000000000000018</v>
      </c>
      <c r="I12" s="12">
        <f ca="1">IF(C12="","",H12*2)</f>
        <v>18.000000000000004</v>
      </c>
      <c r="L12" s="65"/>
    </row>
    <row r="13" spans="1:12" s="64" customFormat="1" ht="13.5" thickBot="1" x14ac:dyDescent="0.25">
      <c r="A13" s="13">
        <v>41629</v>
      </c>
      <c r="B13" s="6">
        <f ca="1">IF(TODAY()&gt;DATEVALUE("12/08/2013"),B12,"")</f>
        <v>10.039999999999999</v>
      </c>
      <c r="C13" s="5">
        <v>18</v>
      </c>
      <c r="D13" s="26">
        <f t="shared" ca="1" si="0"/>
        <v>180.71999999999997</v>
      </c>
      <c r="E13" s="22">
        <f t="shared" ca="1" si="3"/>
        <v>1455.8</v>
      </c>
      <c r="F13" s="27">
        <f ca="1">IF(C13="","",D2-E13+F2)</f>
        <v>2902</v>
      </c>
      <c r="G13" s="14">
        <f t="shared" ca="1" si="1"/>
        <v>289.04382470119526</v>
      </c>
      <c r="H13" s="62" t="e">
        <f ca="1">IF(C13="","",F13/(B13*0))</f>
        <v>#DIV/0!</v>
      </c>
      <c r="I13" s="15" t="e">
        <f t="shared" ca="1" si="2"/>
        <v>#DIV/0!</v>
      </c>
      <c r="J13" s="71"/>
      <c r="L13" s="65"/>
    </row>
    <row r="14" spans="1:12" s="64" customFormat="1" ht="13.5" thickTop="1" x14ac:dyDescent="0.2">
      <c r="A14" s="3">
        <v>41643</v>
      </c>
      <c r="B14" s="16">
        <f ca="1">IF(TODAY()&gt;DATEVALUE("01/06/2013"),B13,"")</f>
        <v>10.039999999999999</v>
      </c>
      <c r="C14" s="17">
        <v>0</v>
      </c>
      <c r="D14" s="22">
        <f t="shared" ca="1" si="0"/>
        <v>0</v>
      </c>
      <c r="E14" s="28">
        <f ca="1">IF(C14="","",D14)</f>
        <v>0</v>
      </c>
      <c r="F14" s="29">
        <f t="shared" ref="F14:F23" ca="1" si="4">IF(C14="","",F13-D14)</f>
        <v>2902</v>
      </c>
      <c r="G14" s="7">
        <f t="shared" ca="1" si="1"/>
        <v>289.04382470119526</v>
      </c>
      <c r="H14" s="7">
        <f ca="1">IF(C14="","",F14/(B14*18))</f>
        <v>16.057990261177515</v>
      </c>
      <c r="I14" s="8">
        <f ca="1">IF(C14="","",H14*2)</f>
        <v>32.115980522355031</v>
      </c>
      <c r="J14" s="72">
        <f ca="1">D2-E14</f>
        <v>1455.8</v>
      </c>
      <c r="K14" s="64" t="s">
        <v>16</v>
      </c>
      <c r="L14" s="65"/>
    </row>
    <row r="15" spans="1:12" s="64" customFormat="1" x14ac:dyDescent="0.2">
      <c r="A15" s="9">
        <v>41657</v>
      </c>
      <c r="B15" s="10">
        <f ca="1">IF(TODAY()&gt;DATEVALUE("1/20/2013"),B14,"")</f>
        <v>10.039999999999999</v>
      </c>
      <c r="C15" s="5">
        <v>0</v>
      </c>
      <c r="D15" s="21">
        <f t="shared" ca="1" si="0"/>
        <v>0</v>
      </c>
      <c r="E15" s="24">
        <f ca="1">IF(C15="","",E14+D15)</f>
        <v>0</v>
      </c>
      <c r="F15" s="25">
        <f t="shared" ca="1" si="4"/>
        <v>2902</v>
      </c>
      <c r="G15" s="11">
        <f t="shared" ca="1" si="1"/>
        <v>289.04382470119526</v>
      </c>
      <c r="H15" s="61">
        <f ca="1">IF(C15="","",F15/(B15*16))</f>
        <v>18.065239043824704</v>
      </c>
      <c r="I15" s="12">
        <f t="shared" ca="1" si="2"/>
        <v>36.130478087649408</v>
      </c>
      <c r="J15" s="71"/>
      <c r="L15" s="65"/>
    </row>
    <row r="16" spans="1:12" s="64" customFormat="1" x14ac:dyDescent="0.2">
      <c r="A16" s="9">
        <v>41671</v>
      </c>
      <c r="B16" s="10">
        <f ca="1">IF(TODAY()&gt;DATEVALUE("02/03/2013"),B15,"")</f>
        <v>10.039999999999999</v>
      </c>
      <c r="C16" s="5">
        <v>18</v>
      </c>
      <c r="D16" s="21">
        <f ca="1">IF(C16="","",B16*C16)</f>
        <v>180.71999999999997</v>
      </c>
      <c r="E16" s="24">
        <f t="shared" ref="E16:E23" ca="1" si="5">IF(C16="","",E15+D16)</f>
        <v>180.71999999999997</v>
      </c>
      <c r="F16" s="25">
        <f ca="1">IF(C16="","",F15-D16)</f>
        <v>2721.28</v>
      </c>
      <c r="G16" s="11">
        <f t="shared" ca="1" si="1"/>
        <v>271.04382470119526</v>
      </c>
      <c r="H16" s="61">
        <f ca="1">IF(C16="","",F16/(B16*14))</f>
        <v>19.360273192942518</v>
      </c>
      <c r="I16" s="12">
        <f t="shared" ca="1" si="2"/>
        <v>38.720546385885036</v>
      </c>
      <c r="J16" s="71"/>
      <c r="K16" s="67">
        <v>0</v>
      </c>
      <c r="L16" s="68" t="s">
        <v>27</v>
      </c>
    </row>
    <row r="17" spans="1:12" s="64" customFormat="1" x14ac:dyDescent="0.2">
      <c r="A17" s="9">
        <v>41685</v>
      </c>
      <c r="B17" s="10">
        <f ca="1">IF(TODAY()&gt;DATEVALUE("2/17/2013"),B16,"")</f>
        <v>10.039999999999999</v>
      </c>
      <c r="C17" s="5">
        <v>21.75</v>
      </c>
      <c r="D17" s="21">
        <f t="shared" ca="1" si="0"/>
        <v>218.36999999999998</v>
      </c>
      <c r="E17" s="24">
        <f ca="1">IF(C17="","",E16+D17)</f>
        <v>399.08999999999992</v>
      </c>
      <c r="F17" s="25">
        <f ca="1">IF(C17="","",F16-D17)</f>
        <v>2502.9100000000003</v>
      </c>
      <c r="G17" s="11">
        <f t="shared" ca="1" si="1"/>
        <v>249.29382470119526</v>
      </c>
      <c r="H17" s="61">
        <f ca="1">IF(C17="","",F17/(B17*12))</f>
        <v>20.774485391766273</v>
      </c>
      <c r="I17" s="12">
        <f t="shared" ca="1" si="2"/>
        <v>41.548970783532546</v>
      </c>
      <c r="K17" s="69">
        <f>SUM(-K16-F24)</f>
        <v>0</v>
      </c>
      <c r="L17" s="70" t="s">
        <v>28</v>
      </c>
    </row>
    <row r="18" spans="1:12" s="64" customFormat="1" x14ac:dyDescent="0.2">
      <c r="A18" s="9">
        <v>41699</v>
      </c>
      <c r="B18" s="10">
        <f ca="1">IF(TODAY()&gt;DATEVALUE("03/03/2013"),B17,"")</f>
        <v>10.039999999999999</v>
      </c>
      <c r="C18" s="5">
        <v>22.25</v>
      </c>
      <c r="D18" s="21">
        <f t="shared" ca="1" si="0"/>
        <v>223.39</v>
      </c>
      <c r="E18" s="24">
        <f ca="1">IF(C18="","",E17+D18)</f>
        <v>622.4799999999999</v>
      </c>
      <c r="F18" s="25">
        <f t="shared" ca="1" si="4"/>
        <v>2279.5200000000004</v>
      </c>
      <c r="G18" s="11">
        <f t="shared" ca="1" si="1"/>
        <v>227.04382470119529</v>
      </c>
      <c r="H18" s="61">
        <f ca="1">IF(C18="","",F18/(B18*10))</f>
        <v>22.70438247011953</v>
      </c>
      <c r="I18" s="12">
        <f t="shared" ca="1" si="2"/>
        <v>45.40876494023906</v>
      </c>
      <c r="L18" s="65"/>
    </row>
    <row r="19" spans="1:12" s="64" customFormat="1" x14ac:dyDescent="0.2">
      <c r="A19" s="9">
        <v>41713</v>
      </c>
      <c r="B19" s="10">
        <f ca="1">IF(TODAY()&gt;DATEVALUE("3/17/2013"),B18,"")</f>
        <v>10.039999999999999</v>
      </c>
      <c r="C19" s="5">
        <v>21.25</v>
      </c>
      <c r="D19" s="21">
        <f t="shared" ca="1" si="0"/>
        <v>213.35</v>
      </c>
      <c r="E19" s="24">
        <f t="shared" ca="1" si="5"/>
        <v>835.82999999999993</v>
      </c>
      <c r="F19" s="25">
        <f t="shared" ca="1" si="4"/>
        <v>2066.1700000000005</v>
      </c>
      <c r="G19" s="11">
        <f t="shared" ca="1" si="1"/>
        <v>205.79382470119529</v>
      </c>
      <c r="H19" s="61">
        <f ca="1">IF(C19="","",F19/(B19*8))</f>
        <v>25.724228087649411</v>
      </c>
      <c r="I19" s="12">
        <f t="shared" ca="1" si="2"/>
        <v>51.448456175298823</v>
      </c>
      <c r="L19" s="65"/>
    </row>
    <row r="20" spans="1:12" s="64" customFormat="1" x14ac:dyDescent="0.2">
      <c r="A20" s="9">
        <v>41727</v>
      </c>
      <c r="B20" s="10">
        <f ca="1">IF(TODAY()&gt;DATEVALUE("3/31/2013"),B19,"")</f>
        <v>10.039999999999999</v>
      </c>
      <c r="C20" s="5">
        <v>8</v>
      </c>
      <c r="D20" s="21">
        <f t="shared" ca="1" si="0"/>
        <v>80.319999999999993</v>
      </c>
      <c r="E20" s="24">
        <f ca="1">IF(C20="","",E19+D20)</f>
        <v>916.14999999999986</v>
      </c>
      <c r="F20" s="25">
        <f t="shared" ca="1" si="4"/>
        <v>1985.8500000000006</v>
      </c>
      <c r="G20" s="11">
        <f t="shared" ca="1" si="1"/>
        <v>197.79382470119529</v>
      </c>
      <c r="H20" s="61">
        <f ca="1">IF(C20="","",F20/(B20*6))</f>
        <v>32.965637450199218</v>
      </c>
      <c r="I20" s="12">
        <f t="shared" ca="1" si="2"/>
        <v>65.931274900398435</v>
      </c>
      <c r="L20" s="65"/>
    </row>
    <row r="21" spans="1:12" s="64" customFormat="1" x14ac:dyDescent="0.2">
      <c r="A21" s="9">
        <v>41741</v>
      </c>
      <c r="B21" s="10">
        <f ca="1">IF(TODAY()&gt;DATEVALUE("4/14/2013"),B20,"")</f>
        <v>10.039999999999999</v>
      </c>
      <c r="C21" s="5">
        <v>16.75</v>
      </c>
      <c r="D21" s="21">
        <f t="shared" ca="1" si="0"/>
        <v>168.17</v>
      </c>
      <c r="E21" s="24">
        <f t="shared" ca="1" si="5"/>
        <v>1084.32</v>
      </c>
      <c r="F21" s="25">
        <f t="shared" ca="1" si="4"/>
        <v>1817.6800000000005</v>
      </c>
      <c r="G21" s="11">
        <f t="shared" ca="1" si="1"/>
        <v>181.04382470119529</v>
      </c>
      <c r="H21" s="61">
        <f ca="1">IF(C21="","",F21/(B21*4))</f>
        <v>45.260956175298823</v>
      </c>
      <c r="I21" s="12">
        <f t="shared" ca="1" si="2"/>
        <v>90.521912350597646</v>
      </c>
      <c r="L21" s="65"/>
    </row>
    <row r="22" spans="1:12" s="64" customFormat="1" x14ac:dyDescent="0.2">
      <c r="A22" s="9">
        <v>41755</v>
      </c>
      <c r="B22" s="10">
        <f ca="1">IF(TODAY()&gt;DATEVALUE("4/28/2013"),B21,"")</f>
        <v>10.039999999999999</v>
      </c>
      <c r="C22" s="5">
        <v>20.25</v>
      </c>
      <c r="D22" s="21">
        <f t="shared" ca="1" si="0"/>
        <v>203.30999999999997</v>
      </c>
      <c r="E22" s="24">
        <f t="shared" ca="1" si="5"/>
        <v>1287.6299999999999</v>
      </c>
      <c r="F22" s="25">
        <f t="shared" ca="1" si="4"/>
        <v>1614.3700000000006</v>
      </c>
      <c r="G22" s="11">
        <f t="shared" ca="1" si="1"/>
        <v>160.79382470119529</v>
      </c>
      <c r="H22" s="61">
        <f ca="1">IF(C22="","",F22/(B22*2))</f>
        <v>80.396912350597646</v>
      </c>
      <c r="I22" s="12">
        <f t="shared" ca="1" si="2"/>
        <v>160.79382470119529</v>
      </c>
      <c r="L22" s="65"/>
    </row>
    <row r="23" spans="1:12" s="64" customFormat="1" ht="12.75" customHeight="1" thickBot="1" x14ac:dyDescent="0.25">
      <c r="A23" s="13">
        <v>41769</v>
      </c>
      <c r="B23" s="18">
        <f ca="1">IF(TODAY()&gt;DATEVALUE("5/12/2013"),B22,"")</f>
        <v>10.039999999999999</v>
      </c>
      <c r="C23" s="19"/>
      <c r="D23" s="26" t="str">
        <f t="shared" si="0"/>
        <v/>
      </c>
      <c r="E23" s="30" t="str">
        <f t="shared" si="5"/>
        <v/>
      </c>
      <c r="F23" s="27" t="str">
        <f t="shared" si="4"/>
        <v/>
      </c>
      <c r="G23" s="20" t="str">
        <f t="shared" si="1"/>
        <v/>
      </c>
      <c r="H23" s="20" t="str">
        <f>IF(C23="","",F23/(B23*0))</f>
        <v/>
      </c>
      <c r="I23" s="15" t="str">
        <f t="shared" si="2"/>
        <v/>
      </c>
      <c r="L23" s="65"/>
    </row>
    <row r="24" spans="1:12" s="73" customFormat="1" ht="11.25" customHeight="1" thickTop="1" thickBot="1" x14ac:dyDescent="0.25"/>
    <row r="25" spans="1:12" s="64" customFormat="1" ht="13.15" customHeight="1" thickTop="1" x14ac:dyDescent="0.2">
      <c r="A25" s="63" t="s">
        <v>29</v>
      </c>
      <c r="B25" s="31" t="s">
        <v>21</v>
      </c>
      <c r="C25" s="47"/>
      <c r="D25" s="48" t="s">
        <v>0</v>
      </c>
      <c r="E25" s="49"/>
      <c r="F25" s="50" t="s">
        <v>1</v>
      </c>
      <c r="G25" s="51"/>
      <c r="H25" s="52" t="s">
        <v>2</v>
      </c>
      <c r="I25" s="53" t="s">
        <v>17</v>
      </c>
      <c r="L25" s="65"/>
    </row>
    <row r="26" spans="1:12" s="64" customFormat="1" ht="13.15" customHeight="1" thickBot="1" x14ac:dyDescent="0.25">
      <c r="A26" s="66" t="s">
        <v>22</v>
      </c>
      <c r="B26" s="32" t="s">
        <v>30</v>
      </c>
      <c r="C26" s="54"/>
      <c r="D26" s="55">
        <v>3950</v>
      </c>
      <c r="E26" s="56"/>
      <c r="F26" s="55">
        <v>3950</v>
      </c>
      <c r="G26" s="58"/>
      <c r="H26" s="59" t="s">
        <v>3</v>
      </c>
      <c r="I26" s="60">
        <f>+D26+F26</f>
        <v>7900</v>
      </c>
      <c r="L26" s="65"/>
    </row>
    <row r="27" spans="1:12" s="64" customFormat="1" ht="13.15" customHeight="1" x14ac:dyDescent="0.2">
      <c r="A27" s="34" t="s">
        <v>4</v>
      </c>
      <c r="B27" s="34" t="s">
        <v>5</v>
      </c>
      <c r="C27" s="35" t="s">
        <v>3</v>
      </c>
      <c r="D27" s="34" t="s">
        <v>6</v>
      </c>
      <c r="E27" s="34" t="s">
        <v>7</v>
      </c>
      <c r="F27" s="36" t="s">
        <v>2</v>
      </c>
      <c r="G27" s="37"/>
      <c r="H27" s="38" t="s">
        <v>8</v>
      </c>
      <c r="I27" s="39" t="s">
        <v>8</v>
      </c>
      <c r="L27" s="65"/>
    </row>
    <row r="28" spans="1:12" s="64" customFormat="1" ht="13.15" customHeight="1" thickBot="1" x14ac:dyDescent="0.25">
      <c r="A28" s="41" t="s">
        <v>9</v>
      </c>
      <c r="B28" s="41" t="s">
        <v>10</v>
      </c>
      <c r="C28" s="42" t="s">
        <v>11</v>
      </c>
      <c r="D28" s="41" t="s">
        <v>5</v>
      </c>
      <c r="E28" s="41" t="s">
        <v>12</v>
      </c>
      <c r="F28" s="43" t="s">
        <v>13</v>
      </c>
      <c r="G28" s="44" t="s">
        <v>14</v>
      </c>
      <c r="H28" s="45" t="s">
        <v>15</v>
      </c>
      <c r="I28" s="46" t="s">
        <v>4</v>
      </c>
      <c r="L28" s="65"/>
    </row>
    <row r="29" spans="1:12" s="64" customFormat="1" x14ac:dyDescent="0.2">
      <c r="A29" s="3">
        <v>41517</v>
      </c>
      <c r="B29" s="4">
        <v>10.95</v>
      </c>
      <c r="C29" s="5">
        <v>27.25</v>
      </c>
      <c r="D29" s="21">
        <f>IF(C29="","",B29*C29)</f>
        <v>298.38749999999999</v>
      </c>
      <c r="E29" s="22">
        <f>IF(C29="","",D29)</f>
        <v>298.38749999999999</v>
      </c>
      <c r="F29" s="23">
        <f>IF(C29="","",D26-E29)</f>
        <v>3651.6125000000002</v>
      </c>
      <c r="G29" s="7">
        <f t="shared" ref="G29:G47" si="6">IF(C29="","",F29/B29)</f>
        <v>333.48059360730599</v>
      </c>
      <c r="H29" s="7">
        <f>IF(C29="","",F29/(B29*16))</f>
        <v>20.842537100456624</v>
      </c>
      <c r="I29" s="8">
        <f>IF(C29="","",H29*2)</f>
        <v>41.685074200913249</v>
      </c>
      <c r="J29" s="64" t="s">
        <v>31</v>
      </c>
      <c r="L29" s="64" t="s">
        <v>33</v>
      </c>
    </row>
    <row r="30" spans="1:12" s="64" customFormat="1" x14ac:dyDescent="0.2">
      <c r="A30" s="9">
        <v>41531</v>
      </c>
      <c r="B30" s="10">
        <f ca="1">IF(TODAY()&gt;DATEVALUE("9/16/2013"),B29,"")</f>
        <v>10.95</v>
      </c>
      <c r="C30" s="5">
        <v>12.5</v>
      </c>
      <c r="D30" s="21">
        <f ca="1">IF(C30="","",B30*C30)+156.71</f>
        <v>293.58500000000004</v>
      </c>
      <c r="E30" s="24">
        <f ca="1">IF(C30="","",E29+D30)</f>
        <v>591.97250000000008</v>
      </c>
      <c r="F30" s="25">
        <f ca="1">IF(C30="","",D26-E30)</f>
        <v>3358.0275000000001</v>
      </c>
      <c r="G30" s="11">
        <f t="shared" ca="1" si="6"/>
        <v>306.66917808219182</v>
      </c>
      <c r="H30" s="61">
        <f ca="1">IF(C30="","",F30/(B30*14))</f>
        <v>21.904941291585132</v>
      </c>
      <c r="I30" s="12">
        <f t="shared" ref="I30:I47" ca="1" si="7">IF(C30="","",H30*2)</f>
        <v>43.809882583170264</v>
      </c>
      <c r="L30" s="65"/>
    </row>
    <row r="31" spans="1:12" s="64" customFormat="1" x14ac:dyDescent="0.2">
      <c r="A31" s="9">
        <v>41545</v>
      </c>
      <c r="B31" s="10">
        <v>12.6</v>
      </c>
      <c r="C31" s="5">
        <v>11</v>
      </c>
      <c r="D31" s="21">
        <f>IF(C31="","",B31*C31)+139.66</f>
        <v>278.26</v>
      </c>
      <c r="E31" s="24">
        <f t="shared" ref="E31:E37" ca="1" si="8">IF(C31="","",E30+D31)</f>
        <v>870.23250000000007</v>
      </c>
      <c r="F31" s="25">
        <f ca="1">IF(C31="","",D26-E31)</f>
        <v>3079.7674999999999</v>
      </c>
      <c r="G31" s="11">
        <f t="shared" ca="1" si="6"/>
        <v>244.42599206349206</v>
      </c>
      <c r="H31" s="61">
        <f ca="1">IF(C31="","",F31/(B31*12))</f>
        <v>20.368832671957673</v>
      </c>
      <c r="I31" s="12">
        <f t="shared" ca="1" si="7"/>
        <v>40.737665343915346</v>
      </c>
      <c r="J31" s="64" t="s">
        <v>32</v>
      </c>
      <c r="L31" s="65"/>
    </row>
    <row r="32" spans="1:12" s="64" customFormat="1" x14ac:dyDescent="0.2">
      <c r="A32" s="9">
        <v>41559</v>
      </c>
      <c r="B32" s="10">
        <f ca="1">IF(TODAY()&gt;DATEVALUE("10/14/2013"),B31,"")</f>
        <v>12.6</v>
      </c>
      <c r="C32" s="5">
        <v>12.75</v>
      </c>
      <c r="D32" s="21">
        <f ca="1">IF(C32="","",B32*C32)+83.98</f>
        <v>244.63</v>
      </c>
      <c r="E32" s="24">
        <f ca="1">IF(C32="","",E31+D32)</f>
        <v>1114.8625000000002</v>
      </c>
      <c r="F32" s="25">
        <f ca="1">IF(C32="","",D26-E32)</f>
        <v>2835.1374999999998</v>
      </c>
      <c r="G32" s="11">
        <f t="shared" ca="1" si="6"/>
        <v>225.01091269841268</v>
      </c>
      <c r="H32" s="61">
        <f ca="1">IF(C32="","",F32/(B32*10))</f>
        <v>22.501091269841268</v>
      </c>
      <c r="I32" s="12">
        <f t="shared" ca="1" si="7"/>
        <v>45.002182539682536</v>
      </c>
      <c r="K32" s="67">
        <v>0</v>
      </c>
      <c r="L32" s="68" t="s">
        <v>25</v>
      </c>
    </row>
    <row r="33" spans="1:12" s="64" customFormat="1" x14ac:dyDescent="0.2">
      <c r="A33" s="9">
        <v>41573</v>
      </c>
      <c r="B33" s="10">
        <f ca="1">IF(TODAY()&gt;DATEVALUE("10/28/2013"),B32,"")</f>
        <v>12.6</v>
      </c>
      <c r="C33" s="5">
        <v>14</v>
      </c>
      <c r="D33" s="21">
        <f ca="1">IF(C33="","",B33*C33)+85.72</f>
        <v>262.12</v>
      </c>
      <c r="E33" s="24">
        <f t="shared" ca="1" si="8"/>
        <v>1376.9825000000001</v>
      </c>
      <c r="F33" s="25">
        <f ca="1">IF(C33="","",D26-E33)</f>
        <v>2573.0174999999999</v>
      </c>
      <c r="G33" s="11">
        <f ca="1">IF(C33="","",F33/B33)</f>
        <v>204.20773809523808</v>
      </c>
      <c r="H33" s="61">
        <f ca="1">IF(C33="","",F33/(B33*8))</f>
        <v>25.525967261904761</v>
      </c>
      <c r="I33" s="12">
        <f ca="1">IF(C33="","",H33*2)</f>
        <v>51.051934523809521</v>
      </c>
      <c r="K33" s="69">
        <f>SUM(-K32-F48)</f>
        <v>0</v>
      </c>
      <c r="L33" s="70" t="s">
        <v>26</v>
      </c>
    </row>
    <row r="34" spans="1:12" s="64" customFormat="1" x14ac:dyDescent="0.2">
      <c r="A34" s="9">
        <v>41587</v>
      </c>
      <c r="B34" s="10">
        <f ca="1">IF(TODAY()&gt;DATEVALUE("11/11/2013"),B33,"")</f>
        <v>12.6</v>
      </c>
      <c r="C34" s="5">
        <v>12.75</v>
      </c>
      <c r="D34" s="21">
        <f ca="1">IF(C34="","",B34*C34)</f>
        <v>160.65</v>
      </c>
      <c r="E34" s="24">
        <f t="shared" ca="1" si="8"/>
        <v>1537.6325000000002</v>
      </c>
      <c r="F34" s="25">
        <f ca="1">IF(C34="","",D26-E34)</f>
        <v>2412.3674999999998</v>
      </c>
      <c r="G34" s="11">
        <f t="shared" ca="1" si="6"/>
        <v>191.45773809523808</v>
      </c>
      <c r="H34" s="61">
        <f ca="1">IF(C34="","",F34/(B34*6))</f>
        <v>31.909623015873017</v>
      </c>
      <c r="I34" s="12">
        <f t="shared" ca="1" si="7"/>
        <v>63.819246031746033</v>
      </c>
      <c r="L34" s="65"/>
    </row>
    <row r="35" spans="1:12" s="64" customFormat="1" x14ac:dyDescent="0.2">
      <c r="A35" s="9">
        <v>41601</v>
      </c>
      <c r="B35" s="10">
        <f ca="1">IF(TODAY()&gt;DATEVALUE("11/25/2013"),B34,"")</f>
        <v>12.6</v>
      </c>
      <c r="C35" s="5">
        <v>17.25</v>
      </c>
      <c r="D35" s="21">
        <f ca="1">IF(C35="","",B35*C35)</f>
        <v>217.35</v>
      </c>
      <c r="E35" s="24">
        <f ca="1">IF(C35="","",E34+D35)+223.08</f>
        <v>1978.0625</v>
      </c>
      <c r="F35" s="25">
        <f ca="1">IF(C35="","",D26-E35)</f>
        <v>1971.9375</v>
      </c>
      <c r="G35" s="11">
        <f t="shared" ca="1" si="6"/>
        <v>156.5029761904762</v>
      </c>
      <c r="H35" s="61">
        <f ca="1">IF(C35="","",F35/(B35*4))</f>
        <v>39.125744047619051</v>
      </c>
      <c r="I35" s="12">
        <f t="shared" ca="1" si="7"/>
        <v>78.251488095238102</v>
      </c>
      <c r="L35" s="65"/>
    </row>
    <row r="36" spans="1:12" s="64" customFormat="1" x14ac:dyDescent="0.2">
      <c r="A36" s="9">
        <v>41615</v>
      </c>
      <c r="B36" s="10">
        <f ca="1">IF(TODAY()&gt;DATEVALUE("11/25/2013"),B35,"")</f>
        <v>12.6</v>
      </c>
      <c r="C36" s="5">
        <v>28.5</v>
      </c>
      <c r="D36" s="21">
        <f ca="1">IF(C36="","",B36*C36)</f>
        <v>359.09999999999997</v>
      </c>
      <c r="E36" s="24">
        <f t="shared" ca="1" si="8"/>
        <v>2337.1624999999999</v>
      </c>
      <c r="F36" s="25">
        <f ca="1">IF(C36="","",D26-E36)</f>
        <v>1612.8375000000001</v>
      </c>
      <c r="G36" s="11">
        <f ca="1">IF(C36="","",F36/B36)</f>
        <v>128.0029761904762</v>
      </c>
      <c r="H36" s="61">
        <f ca="1">IF(C36="","",F36/(B36*2))</f>
        <v>64.001488095238102</v>
      </c>
      <c r="I36" s="12">
        <f ca="1">IF(C36="","",H36*2)</f>
        <v>128.0029761904762</v>
      </c>
      <c r="L36" s="65"/>
    </row>
    <row r="37" spans="1:12" s="64" customFormat="1" ht="13.5" thickBot="1" x14ac:dyDescent="0.25">
      <c r="A37" s="13">
        <v>41629</v>
      </c>
      <c r="B37" s="6">
        <f ca="1">IF(TODAY()&gt;DATEVALUE("12/08/2013"),B36,"")</f>
        <v>12.6</v>
      </c>
      <c r="C37" s="5">
        <v>26.25</v>
      </c>
      <c r="D37" s="26">
        <f ca="1">IF(C37="","",B37*C37)</f>
        <v>330.75</v>
      </c>
      <c r="E37" s="22">
        <f t="shared" ca="1" si="8"/>
        <v>2667.9124999999999</v>
      </c>
      <c r="F37" s="27">
        <f ca="1">IF(C37="","",D26-E37+F26)</f>
        <v>5232.0874999999996</v>
      </c>
      <c r="G37" s="14">
        <f t="shared" ca="1" si="6"/>
        <v>415.24503968253964</v>
      </c>
      <c r="H37" s="62" t="e">
        <f ca="1">IF(C37="","",F37/(B37*0))</f>
        <v>#DIV/0!</v>
      </c>
      <c r="I37" s="15" t="e">
        <f t="shared" ca="1" si="7"/>
        <v>#DIV/0!</v>
      </c>
      <c r="L37" s="65"/>
    </row>
    <row r="38" spans="1:12" s="64" customFormat="1" ht="13.5" thickTop="1" x14ac:dyDescent="0.2">
      <c r="A38" s="3">
        <v>41643</v>
      </c>
      <c r="B38" s="16">
        <f ca="1">IF(TODAY()&gt;DATEVALUE("01/06/2013"),B37,"")</f>
        <v>12.6</v>
      </c>
      <c r="C38" s="17">
        <v>22</v>
      </c>
      <c r="D38" s="22">
        <f ca="1">IF(C38="","",B38*C38)</f>
        <v>277.2</v>
      </c>
      <c r="E38" s="28">
        <f ca="1">IF(C38="","",D38)</f>
        <v>277.2</v>
      </c>
      <c r="F38" s="29">
        <f t="shared" ref="F38:F47" ca="1" si="9">IF(C38="","",F37-D38)</f>
        <v>4954.8874999999998</v>
      </c>
      <c r="G38" s="7">
        <f t="shared" ca="1" si="6"/>
        <v>393.2450396825397</v>
      </c>
      <c r="H38" s="7">
        <f ca="1">IF(C38="","",F38/(B38*18))</f>
        <v>21.846946649029984</v>
      </c>
      <c r="I38" s="8">
        <f ca="1">IF(C38="","",H38*2)</f>
        <v>43.693893298059969</v>
      </c>
      <c r="J38" s="72">
        <f ca="1">D26-E38</f>
        <v>3672.8</v>
      </c>
      <c r="K38" s="64" t="s">
        <v>16</v>
      </c>
      <c r="L38" s="65"/>
    </row>
    <row r="39" spans="1:12" s="64" customFormat="1" x14ac:dyDescent="0.2">
      <c r="A39" s="9">
        <v>41657</v>
      </c>
      <c r="B39" s="10">
        <f ca="1">IF(TODAY()&gt;DATEVALUE("1/20/2013"),B38,"")</f>
        <v>12.6</v>
      </c>
      <c r="C39" s="5">
        <v>49</v>
      </c>
      <c r="D39" s="21">
        <f ca="1">IF(C39="","",B39*C39)+81.9</f>
        <v>699.3</v>
      </c>
      <c r="E39" s="24">
        <f ca="1">IF(C39="","",E38+D39)</f>
        <v>976.5</v>
      </c>
      <c r="F39" s="25">
        <f t="shared" ca="1" si="9"/>
        <v>4255.5874999999996</v>
      </c>
      <c r="G39" s="11">
        <f t="shared" ca="1" si="6"/>
        <v>337.74503968253964</v>
      </c>
      <c r="H39" s="61">
        <f ca="1">IF(C39="","",F39/(B39*16))</f>
        <v>21.109064980158728</v>
      </c>
      <c r="I39" s="12">
        <f t="shared" ca="1" si="7"/>
        <v>42.218129960317455</v>
      </c>
      <c r="L39" s="65"/>
    </row>
    <row r="40" spans="1:12" s="64" customFormat="1" x14ac:dyDescent="0.2">
      <c r="A40" s="9">
        <v>41671</v>
      </c>
      <c r="B40" s="10">
        <f ca="1">IF(TODAY()&gt;DATEVALUE("02/03/2013"),B39,"")</f>
        <v>12.6</v>
      </c>
      <c r="C40" s="5">
        <v>17</v>
      </c>
      <c r="D40" s="21">
        <f ca="1">IF(C40="","",B40*C40)+117.17</f>
        <v>331.37</v>
      </c>
      <c r="E40" s="24">
        <f t="shared" ref="E40:E47" ca="1" si="10">IF(C40="","",E39+D40)</f>
        <v>1307.8699999999999</v>
      </c>
      <c r="F40" s="25">
        <f ca="1">IF(C40="","",F39-D40)</f>
        <v>3924.2174999999997</v>
      </c>
      <c r="G40" s="11">
        <f t="shared" ca="1" si="6"/>
        <v>311.44583333333333</v>
      </c>
      <c r="H40" s="61">
        <f ca="1">IF(C40="","",F40/(B40*14))</f>
        <v>22.246130952380952</v>
      </c>
      <c r="I40" s="12">
        <f t="shared" ca="1" si="7"/>
        <v>44.492261904761904</v>
      </c>
      <c r="K40" s="67">
        <v>0</v>
      </c>
      <c r="L40" s="68" t="s">
        <v>27</v>
      </c>
    </row>
    <row r="41" spans="1:12" s="64" customFormat="1" x14ac:dyDescent="0.2">
      <c r="A41" s="9">
        <v>41685</v>
      </c>
      <c r="B41" s="10">
        <f ca="1">IF(TODAY()&gt;DATEVALUE("2/17/2013"),B40,"")</f>
        <v>12.6</v>
      </c>
      <c r="C41" s="5">
        <v>16.5</v>
      </c>
      <c r="D41" s="21">
        <f ca="1">IF(C41="","",B41*C41)+103.19</f>
        <v>311.09000000000003</v>
      </c>
      <c r="E41" s="24">
        <f ca="1">IF(C41="","",E40+D41)</f>
        <v>1618.96</v>
      </c>
      <c r="F41" s="25">
        <f ca="1">IF(C41="","",F40-D41)</f>
        <v>3613.1274999999996</v>
      </c>
      <c r="G41" s="11">
        <f t="shared" ca="1" si="6"/>
        <v>286.75615079365076</v>
      </c>
      <c r="H41" s="61">
        <f ca="1">IF(C41="","",F41/(B41*12))</f>
        <v>23.896345899470898</v>
      </c>
      <c r="I41" s="12">
        <f t="shared" ca="1" si="7"/>
        <v>47.792691798941796</v>
      </c>
      <c r="K41" s="69">
        <f>SUM(-K40-F48)</f>
        <v>0</v>
      </c>
      <c r="L41" s="70" t="s">
        <v>28</v>
      </c>
    </row>
    <row r="42" spans="1:12" s="64" customFormat="1" x14ac:dyDescent="0.2">
      <c r="A42" s="9">
        <v>41699</v>
      </c>
      <c r="B42" s="10">
        <f ca="1">IF(TODAY()&gt;DATEVALUE("03/03/2013"),B41,"")</f>
        <v>12.6</v>
      </c>
      <c r="C42" s="5">
        <v>22</v>
      </c>
      <c r="D42" s="21">
        <f ca="1">IF(C42="","",B42*C42)+95.55</f>
        <v>372.75</v>
      </c>
      <c r="E42" s="24">
        <f ca="1">IF(C42="","",E41+D42)</f>
        <v>1991.71</v>
      </c>
      <c r="F42" s="25">
        <f t="shared" ca="1" si="9"/>
        <v>3240.3774999999996</v>
      </c>
      <c r="G42" s="11">
        <f t="shared" ca="1" si="6"/>
        <v>257.17281746031745</v>
      </c>
      <c r="H42" s="61">
        <f ca="1">IF(C42="","",F42/(B42*10))</f>
        <v>25.717281746031741</v>
      </c>
      <c r="I42" s="12">
        <f t="shared" ca="1" si="7"/>
        <v>51.434563492063482</v>
      </c>
      <c r="L42" s="65"/>
    </row>
    <row r="43" spans="1:12" s="64" customFormat="1" x14ac:dyDescent="0.2">
      <c r="A43" s="9">
        <v>41713</v>
      </c>
      <c r="B43" s="10">
        <f ca="1">IF(TODAY()&gt;DATEVALUE("3/17/2013"),B42,"")</f>
        <v>12.6</v>
      </c>
      <c r="C43" s="5">
        <v>16.75</v>
      </c>
      <c r="D43" s="21">
        <f ca="1">IF(C43="","",B43*C43)+96.32</f>
        <v>307.37</v>
      </c>
      <c r="E43" s="24">
        <f t="shared" ca="1" si="10"/>
        <v>2299.08</v>
      </c>
      <c r="F43" s="25">
        <f t="shared" ca="1" si="9"/>
        <v>2933.0074999999997</v>
      </c>
      <c r="G43" s="11">
        <f t="shared" ca="1" si="6"/>
        <v>232.778373015873</v>
      </c>
      <c r="H43" s="61">
        <f ca="1">IF(C43="","",F43/(B43*8))</f>
        <v>29.097296626984125</v>
      </c>
      <c r="I43" s="12">
        <f t="shared" ca="1" si="7"/>
        <v>58.19459325396825</v>
      </c>
      <c r="L43" s="65"/>
    </row>
    <row r="44" spans="1:12" s="64" customFormat="1" x14ac:dyDescent="0.2">
      <c r="A44" s="9">
        <v>41727</v>
      </c>
      <c r="B44" s="10">
        <f ca="1">IF(TODAY()&gt;DATEVALUE("3/31/2013"),B43,"")</f>
        <v>12.6</v>
      </c>
      <c r="C44" s="5">
        <v>11.75</v>
      </c>
      <c r="D44" s="21">
        <f ca="1">IF(C44="","",B44*C44)+45.54</f>
        <v>193.58999999999997</v>
      </c>
      <c r="E44" s="24">
        <f ca="1">IF(C44="","",E43+D44)</f>
        <v>2492.67</v>
      </c>
      <c r="F44" s="25">
        <f t="shared" ca="1" si="9"/>
        <v>2739.4174999999996</v>
      </c>
      <c r="G44" s="11">
        <f t="shared" ca="1" si="6"/>
        <v>217.41408730158727</v>
      </c>
      <c r="H44" s="61">
        <f ca="1">IF(C44="","",F44/(B44*6))</f>
        <v>36.235681216931212</v>
      </c>
      <c r="I44" s="12">
        <f t="shared" ca="1" si="7"/>
        <v>72.471362433862424</v>
      </c>
      <c r="L44" s="65"/>
    </row>
    <row r="45" spans="1:12" s="64" customFormat="1" x14ac:dyDescent="0.2">
      <c r="A45" s="9">
        <v>41741</v>
      </c>
      <c r="B45" s="10">
        <f ca="1">IF(TODAY()&gt;DATEVALUE("4/14/2013"),B44,"")</f>
        <v>12.6</v>
      </c>
      <c r="C45" s="5">
        <v>16.5</v>
      </c>
      <c r="D45" s="21">
        <f ca="1">IF(C45="","",B45*C45)+97.08</f>
        <v>304.98</v>
      </c>
      <c r="E45" s="24">
        <f t="shared" ca="1" si="10"/>
        <v>2797.65</v>
      </c>
      <c r="F45" s="25">
        <f t="shared" ca="1" si="9"/>
        <v>2434.4374999999995</v>
      </c>
      <c r="G45" s="11">
        <f t="shared" ca="1" si="6"/>
        <v>193.20932539682536</v>
      </c>
      <c r="H45" s="61">
        <f ca="1">IF(C45="","",F45/(B45*4))</f>
        <v>48.302331349206341</v>
      </c>
      <c r="I45" s="12">
        <f t="shared" ca="1" si="7"/>
        <v>96.604662698412682</v>
      </c>
      <c r="L45" s="65"/>
    </row>
    <row r="46" spans="1:12" s="64" customFormat="1" x14ac:dyDescent="0.2">
      <c r="A46" s="9">
        <v>41755</v>
      </c>
      <c r="B46" s="10">
        <f ca="1">IF(TODAY()&gt;DATEVALUE("4/28/2013"),B45,"")</f>
        <v>12.6</v>
      </c>
      <c r="C46" s="5">
        <v>16</v>
      </c>
      <c r="D46" s="21">
        <f ca="1">IF(C46="","",B46*C46)</f>
        <v>201.6</v>
      </c>
      <c r="E46" s="24">
        <f t="shared" ca="1" si="10"/>
        <v>2999.25</v>
      </c>
      <c r="F46" s="25">
        <f t="shared" ca="1" si="9"/>
        <v>2232.8374999999996</v>
      </c>
      <c r="G46" s="11">
        <f t="shared" ca="1" si="6"/>
        <v>177.20932539682536</v>
      </c>
      <c r="H46" s="61">
        <f ca="1">IF(C46="","",F46/(B46*2))</f>
        <v>88.604662698412682</v>
      </c>
      <c r="I46" s="12">
        <f t="shared" ca="1" si="7"/>
        <v>177.20932539682536</v>
      </c>
      <c r="L46" s="65"/>
    </row>
    <row r="47" spans="1:12" s="64" customFormat="1" ht="12" customHeight="1" thickBot="1" x14ac:dyDescent="0.25">
      <c r="A47" s="13">
        <v>41769</v>
      </c>
      <c r="B47" s="18">
        <f ca="1">IF(TODAY()&gt;DATEVALUE("5/12/2013"),B46,"")</f>
        <v>12.6</v>
      </c>
      <c r="C47" s="19"/>
      <c r="D47" s="26" t="str">
        <f>IF(C47="","",B47*C47)</f>
        <v/>
      </c>
      <c r="E47" s="30" t="str">
        <f t="shared" si="10"/>
        <v/>
      </c>
      <c r="F47" s="27" t="str">
        <f t="shared" si="9"/>
        <v/>
      </c>
      <c r="G47" s="20" t="str">
        <f t="shared" si="6"/>
        <v/>
      </c>
      <c r="H47" s="20" t="str">
        <f>IF(C47="","",F47/(B47*0))</f>
        <v/>
      </c>
      <c r="I47" s="15" t="str">
        <f t="shared" si="7"/>
        <v/>
      </c>
      <c r="L47" s="65"/>
    </row>
    <row r="48" spans="1:12" s="73" customFormat="1" ht="12" customHeight="1" thickTop="1" x14ac:dyDescent="0.2"/>
    <row r="49" spans="12:12" s="73" customFormat="1" x14ac:dyDescent="0.2">
      <c r="L49" s="74"/>
    </row>
    <row r="50" spans="12:12" s="73" customFormat="1" x14ac:dyDescent="0.2">
      <c r="L50" s="74"/>
    </row>
    <row r="51" spans="12:12" s="73" customFormat="1" x14ac:dyDescent="0.2">
      <c r="L51" s="74"/>
    </row>
    <row r="52" spans="12:12" s="73" customFormat="1" x14ac:dyDescent="0.2">
      <c r="L52" s="7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ADDA4092FD0A41914E87F89F170681" ma:contentTypeVersion="18" ma:contentTypeDescription="Create a new document." ma:contentTypeScope="" ma:versionID="48865d5487ab21dfb49e75fe01d34c6b">
  <xsd:schema xmlns:xsd="http://www.w3.org/2001/XMLSchema" xmlns:xs="http://www.w3.org/2001/XMLSchema" xmlns:p="http://schemas.microsoft.com/office/2006/metadata/properties" xmlns:ns2="4ab10b93-db63-4fb1-bc68-6418726465f5" xmlns:ns3="a0e13ebe-dfad-4d3b-98fa-49d504cd90f9" xmlns:ns4="92c16b9d-8c83-445e-a4f4-1fe3d2f43f13" targetNamespace="http://schemas.microsoft.com/office/2006/metadata/properties" ma:root="true" ma:fieldsID="f028b1c48c6b4a91b50d690a9f0818de" ns2:_="" ns3:_="" ns4:_="">
    <xsd:import namespace="4ab10b93-db63-4fb1-bc68-6418726465f5"/>
    <xsd:import namespace="a0e13ebe-dfad-4d3b-98fa-49d504cd90f9"/>
    <xsd:import namespace="92c16b9d-8c83-445e-a4f4-1fe3d2f43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10b93-db63-4fb1-bc68-6418726465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2802cc5-2881-4dd7-9d75-38905e9cf7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13ebe-dfad-4d3b-98fa-49d504cd90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16b9d-8c83-445e-a4f4-1fe3d2f43f1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b46f664-888b-4716-bb57-2bebe7f6cfb1}" ma:internalName="TaxCatchAll" ma:showField="CatchAllData" ma:web="a0e13ebe-dfad-4d3b-98fa-49d504cd90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c16b9d-8c83-445e-a4f4-1fe3d2f43f13" xsi:nil="true"/>
    <lcf76f155ced4ddcb4097134ff3c332f xmlns="4ab10b93-db63-4fb1-bc68-6418726465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5FE866-AA60-48B3-9572-58110BBF2C06}"/>
</file>

<file path=customXml/itemProps2.xml><?xml version="1.0" encoding="utf-8"?>
<ds:datastoreItem xmlns:ds="http://schemas.openxmlformats.org/officeDocument/2006/customXml" ds:itemID="{23CAE8FA-6806-4D70-8F9C-FAF5669873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E1B02-9BD9-44AC-9127-1F41DA7C579C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92c16b9d-8c83-445e-a4f4-1fe3d2f43f13"/>
    <ds:schemaRef ds:uri="http://schemas.microsoft.com/office/2006/documentManagement/types"/>
    <ds:schemaRef ds:uri="http://purl.org/dc/terms/"/>
    <ds:schemaRef ds:uri="http://schemas.microsoft.com/office/2006/metadata/properties"/>
    <ds:schemaRef ds:uri="a0e13ebe-dfad-4d3b-98fa-49d504cd90f9"/>
    <ds:schemaRef ds:uri="4ab10b93-db63-4fb1-bc68-6418726465f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Sample Completed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Financial Aid</dc:creator>
  <cp:lastModifiedBy>Brenda L Duran</cp:lastModifiedBy>
  <cp:lastPrinted>2024-05-06T21:34:01Z</cp:lastPrinted>
  <dcterms:created xsi:type="dcterms:W3CDTF">2004-07-26T20:23:03Z</dcterms:created>
  <dcterms:modified xsi:type="dcterms:W3CDTF">2024-05-06T21:35:24Z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0x010100E4ADDA4092FD0A41914E87F89F170681</vt:lpwstr>
  </property>
  <property fmtid="{D5CDD505-2E9C-101B-9397-08002B2CF9AE}" pid="3" name="MediaServiceImageTags">
    <vt:lpwstr/>
  </property>
</Properties>
</file>